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1672" documentId="8_{1D684AB1-FB26-42DD-B1BB-8465CFD4B336}" xr6:coauthVersionLast="47" xr6:coauthVersionMax="47" xr10:uidLastSave="{F0C45B60-17BD-4533-B3EA-57E68027FB1A}"/>
  <bookViews>
    <workbookView xWindow="-120" yWindow="-120" windowWidth="29040" windowHeight="15840" activeTab="4" xr2:uid="{00000000-000D-0000-FFFF-FFFF00000000}"/>
  </bookViews>
  <sheets>
    <sheet name="Fig S1. Ct &amp; y" sheetId="1" r:id="rId1"/>
    <sheet name="Fig S2. ASHRAE 62.1" sheetId="3" r:id="rId2"/>
    <sheet name="Fig S3. ASHRAE 241" sheetId="4" r:id="rId3"/>
    <sheet name="Fig S4ab. ASHRAE 62.1" sheetId="6" r:id="rId4"/>
    <sheet name="Fig S4bc. ASHRAE 241" sheetId="5" r:id="rId5"/>
  </sheets>
  <definedNames>
    <definedName name="_xlnm._FilterDatabase" localSheetId="2" hidden="1">'Fig S3. ASHRAE 241'!$B$3:$Q$32</definedName>
    <definedName name="_xlnm._FilterDatabase" localSheetId="4" hidden="1">'Fig S4bc. ASHRAE 241'!$B$3:$Q$32</definedName>
    <definedName name="solver_adj" localSheetId="3" hidden="1">'Fig S4ab. ASHRAE 62.1'!$V$25</definedName>
    <definedName name="solver_cvg" localSheetId="3" hidden="1">0.0001</definedName>
    <definedName name="solver_drv" localSheetId="3" hidden="1">1</definedName>
    <definedName name="solver_eng" localSheetId="3" hidden="1">1</definedName>
    <definedName name="solver_est" localSheetId="3" hidden="1">1</definedName>
    <definedName name="solver_itr" localSheetId="3" hidden="1">2147483647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0</definedName>
    <definedName name="solver_nwt" localSheetId="3" hidden="1">1</definedName>
    <definedName name="solver_opt" localSheetId="3" hidden="1">'Fig S4ab. ASHRAE 62.1'!$W$25</definedName>
    <definedName name="solver_pre" localSheetId="3" hidden="1">0.000001</definedName>
    <definedName name="solver_rbv" localSheetId="3" hidden="1">1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3</definedName>
    <definedName name="solver_val" localSheetId="3" hidden="1">0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T30" i="6" l="1"/>
  <c r="Y87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4" i="6"/>
  <c r="X87" i="6"/>
  <c r="X86" i="6"/>
  <c r="X85" i="6"/>
  <c r="X84" i="6"/>
  <c r="X83" i="6"/>
  <c r="X82" i="6"/>
  <c r="X81" i="6"/>
  <c r="X80" i="6"/>
  <c r="X79" i="6"/>
  <c r="X78" i="6"/>
  <c r="X77" i="6"/>
  <c r="X76" i="6"/>
  <c r="X75" i="6"/>
  <c r="X74" i="6"/>
  <c r="X73" i="6"/>
  <c r="X72" i="6"/>
  <c r="X71" i="6"/>
  <c r="X70" i="6"/>
  <c r="X69" i="6"/>
  <c r="X68" i="6"/>
  <c r="X67" i="6"/>
  <c r="X66" i="6"/>
  <c r="X65" i="6"/>
  <c r="X6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7" i="6"/>
  <c r="X6" i="6"/>
  <c r="X5" i="6"/>
  <c r="X4" i="6"/>
  <c r="W30" i="5"/>
  <c r="W29" i="5"/>
  <c r="W27" i="5"/>
  <c r="W26" i="5"/>
  <c r="W14" i="5"/>
  <c r="W13" i="5"/>
  <c r="W11" i="5"/>
  <c r="W10" i="5"/>
  <c r="U26" i="5"/>
  <c r="U23" i="5"/>
  <c r="U11" i="5"/>
  <c r="U7" i="5"/>
  <c r="U4" i="5"/>
  <c r="T32" i="5"/>
  <c r="U32" i="5" s="1"/>
  <c r="T31" i="5"/>
  <c r="T30" i="5"/>
  <c r="T29" i="5"/>
  <c r="U29" i="5" s="1"/>
  <c r="T28" i="5"/>
  <c r="W28" i="5" s="1"/>
  <c r="T27" i="5"/>
  <c r="U27" i="5" s="1"/>
  <c r="T26" i="5"/>
  <c r="T25" i="5"/>
  <c r="W25" i="5" s="1"/>
  <c r="T24" i="5"/>
  <c r="W24" i="5" s="1"/>
  <c r="T23" i="5"/>
  <c r="W23" i="5" s="1"/>
  <c r="T22" i="5"/>
  <c r="W22" i="5" s="1"/>
  <c r="T21" i="5"/>
  <c r="U21" i="5" s="1"/>
  <c r="T20" i="5"/>
  <c r="U20" i="5" s="1"/>
  <c r="T19" i="5"/>
  <c r="U19" i="5" s="1"/>
  <c r="T18" i="5"/>
  <c r="U18" i="5" s="1"/>
  <c r="T17" i="5"/>
  <c r="W17" i="5" s="1"/>
  <c r="T16" i="5"/>
  <c r="U16" i="5" s="1"/>
  <c r="T15" i="5"/>
  <c r="T14" i="5"/>
  <c r="T13" i="5"/>
  <c r="T12" i="5"/>
  <c r="T11" i="5"/>
  <c r="T10" i="5"/>
  <c r="T9" i="5"/>
  <c r="W9" i="5" s="1"/>
  <c r="T8" i="5"/>
  <c r="W8" i="5" s="1"/>
  <c r="T7" i="5"/>
  <c r="W7" i="5" s="1"/>
  <c r="T6" i="5"/>
  <c r="W6" i="5" s="1"/>
  <c r="T5" i="5"/>
  <c r="W5" i="5" s="1"/>
  <c r="T4" i="5"/>
  <c r="W4" i="5" s="1"/>
  <c r="W87" i="6"/>
  <c r="W84" i="6"/>
  <c r="U81" i="6"/>
  <c r="U80" i="6"/>
  <c r="W79" i="6"/>
  <c r="W76" i="6"/>
  <c r="W72" i="6"/>
  <c r="W71" i="6"/>
  <c r="W63" i="6"/>
  <c r="W55" i="6"/>
  <c r="W53" i="6"/>
  <c r="W49" i="6"/>
  <c r="W45" i="6"/>
  <c r="W44" i="6"/>
  <c r="U44" i="6"/>
  <c r="W37" i="6"/>
  <c r="W36" i="6"/>
  <c r="U36" i="6"/>
  <c r="U33" i="6"/>
  <c r="W30" i="6"/>
  <c r="W29" i="6"/>
  <c r="W28" i="6"/>
  <c r="U28" i="6"/>
  <c r="U25" i="6"/>
  <c r="W21" i="6"/>
  <c r="W20" i="6"/>
  <c r="U20" i="6"/>
  <c r="W14" i="6"/>
  <c r="W9" i="6"/>
  <c r="W7" i="6"/>
  <c r="W5" i="6"/>
  <c r="W4" i="6"/>
  <c r="T5" i="6"/>
  <c r="T6" i="6"/>
  <c r="W6" i="6" s="1"/>
  <c r="T7" i="6"/>
  <c r="T8" i="6"/>
  <c r="W8" i="6" s="1"/>
  <c r="T9" i="6"/>
  <c r="T10" i="6"/>
  <c r="W10" i="6" s="1"/>
  <c r="T11" i="6"/>
  <c r="W11" i="6" s="1"/>
  <c r="T12" i="6"/>
  <c r="W12" i="6" s="1"/>
  <c r="T13" i="6"/>
  <c r="W13" i="6" s="1"/>
  <c r="T14" i="6"/>
  <c r="T15" i="6"/>
  <c r="W15" i="6" s="1"/>
  <c r="T16" i="6"/>
  <c r="W16" i="6" s="1"/>
  <c r="T17" i="6"/>
  <c r="W17" i="6" s="1"/>
  <c r="T18" i="6"/>
  <c r="W18" i="6" s="1"/>
  <c r="T19" i="6"/>
  <c r="W19" i="6" s="1"/>
  <c r="T20" i="6"/>
  <c r="T21" i="6"/>
  <c r="U21" i="6" s="1"/>
  <c r="T22" i="6"/>
  <c r="W22" i="6" s="1"/>
  <c r="T23" i="6"/>
  <c r="W23" i="6" s="1"/>
  <c r="T24" i="6"/>
  <c r="W24" i="6" s="1"/>
  <c r="T25" i="6"/>
  <c r="W25" i="6" s="1"/>
  <c r="T26" i="6"/>
  <c r="W26" i="6" s="1"/>
  <c r="T27" i="6"/>
  <c r="U27" i="6" s="1"/>
  <c r="T28" i="6"/>
  <c r="T29" i="6"/>
  <c r="U29" i="6" s="1"/>
  <c r="T31" i="6"/>
  <c r="W31" i="6" s="1"/>
  <c r="T32" i="6"/>
  <c r="W32" i="6" s="1"/>
  <c r="T33" i="6"/>
  <c r="W33" i="6" s="1"/>
  <c r="T34" i="6"/>
  <c r="W34" i="6" s="1"/>
  <c r="T35" i="6"/>
  <c r="U35" i="6" s="1"/>
  <c r="T36" i="6"/>
  <c r="T37" i="6"/>
  <c r="U37" i="6" s="1"/>
  <c r="T38" i="6"/>
  <c r="W38" i="6" s="1"/>
  <c r="T39" i="6"/>
  <c r="W39" i="6" s="1"/>
  <c r="T40" i="6"/>
  <c r="W40" i="6" s="1"/>
  <c r="T41" i="6"/>
  <c r="U41" i="6" s="1"/>
  <c r="T42" i="6"/>
  <c r="W42" i="6" s="1"/>
  <c r="T43" i="6"/>
  <c r="U43" i="6" s="1"/>
  <c r="T44" i="6"/>
  <c r="T45" i="6"/>
  <c r="U45" i="6" s="1"/>
  <c r="T46" i="6"/>
  <c r="W46" i="6" s="1"/>
  <c r="T47" i="6"/>
  <c r="W47" i="6" s="1"/>
  <c r="T48" i="6"/>
  <c r="W48" i="6" s="1"/>
  <c r="T49" i="6"/>
  <c r="U49" i="6" s="1"/>
  <c r="T50" i="6"/>
  <c r="W50" i="6" s="1"/>
  <c r="T51" i="6"/>
  <c r="W51" i="6" s="1"/>
  <c r="T52" i="6"/>
  <c r="W52" i="6" s="1"/>
  <c r="T53" i="6"/>
  <c r="T54" i="6"/>
  <c r="W54" i="6" s="1"/>
  <c r="T55" i="6"/>
  <c r="T56" i="6"/>
  <c r="W56" i="6" s="1"/>
  <c r="T57" i="6"/>
  <c r="W57" i="6" s="1"/>
  <c r="T58" i="6"/>
  <c r="W58" i="6" s="1"/>
  <c r="T59" i="6"/>
  <c r="W59" i="6" s="1"/>
  <c r="T60" i="6"/>
  <c r="W60" i="6" s="1"/>
  <c r="T61" i="6"/>
  <c r="W61" i="6" s="1"/>
  <c r="T62" i="6"/>
  <c r="U62" i="6" s="1"/>
  <c r="T63" i="6"/>
  <c r="T64" i="6"/>
  <c r="W64" i="6" s="1"/>
  <c r="T65" i="6"/>
  <c r="W65" i="6" s="1"/>
  <c r="T66" i="6"/>
  <c r="W66" i="6" s="1"/>
  <c r="T67" i="6"/>
  <c r="W67" i="6" s="1"/>
  <c r="T68" i="6"/>
  <c r="W68" i="6" s="1"/>
  <c r="T69" i="6"/>
  <c r="W69" i="6" s="1"/>
  <c r="T70" i="6"/>
  <c r="U70" i="6" s="1"/>
  <c r="T71" i="6"/>
  <c r="T72" i="6"/>
  <c r="T73" i="6"/>
  <c r="W73" i="6" s="1"/>
  <c r="T74" i="6"/>
  <c r="W74" i="6" s="1"/>
  <c r="T75" i="6"/>
  <c r="W75" i="6" s="1"/>
  <c r="T76" i="6"/>
  <c r="T77" i="6"/>
  <c r="W77" i="6" s="1"/>
  <c r="T78" i="6"/>
  <c r="W78" i="6" s="1"/>
  <c r="T79" i="6"/>
  <c r="T80" i="6"/>
  <c r="W80" i="6" s="1"/>
  <c r="T81" i="6"/>
  <c r="W81" i="6" s="1"/>
  <c r="T82" i="6"/>
  <c r="W82" i="6" s="1"/>
  <c r="T83" i="6"/>
  <c r="W83" i="6" s="1"/>
  <c r="T84" i="6"/>
  <c r="T85" i="6"/>
  <c r="W85" i="6" s="1"/>
  <c r="T86" i="6"/>
  <c r="W86" i="6" s="1"/>
  <c r="T87" i="6"/>
  <c r="U87" i="6" s="1"/>
  <c r="T4" i="6"/>
  <c r="J87" i="6"/>
  <c r="S87" i="6" s="1"/>
  <c r="H87" i="6"/>
  <c r="J86" i="6"/>
  <c r="K86" i="6" s="1"/>
  <c r="H86" i="6"/>
  <c r="J85" i="6"/>
  <c r="K85" i="6" s="1"/>
  <c r="H85" i="6"/>
  <c r="J84" i="6"/>
  <c r="K84" i="6" s="1"/>
  <c r="H84" i="6"/>
  <c r="J83" i="6"/>
  <c r="K83" i="6" s="1"/>
  <c r="H83" i="6"/>
  <c r="J82" i="6"/>
  <c r="S82" i="6" s="1"/>
  <c r="H82" i="6"/>
  <c r="J81" i="6"/>
  <c r="S81" i="6" s="1"/>
  <c r="H81" i="6"/>
  <c r="J80" i="6"/>
  <c r="S80" i="6" s="1"/>
  <c r="H80" i="6"/>
  <c r="J79" i="6"/>
  <c r="K79" i="6" s="1"/>
  <c r="H79" i="6"/>
  <c r="J78" i="6"/>
  <c r="S78" i="6" s="1"/>
  <c r="H78" i="6"/>
  <c r="J77" i="6"/>
  <c r="S77" i="6" s="1"/>
  <c r="H77" i="6"/>
  <c r="J76" i="6"/>
  <c r="K76" i="6" s="1"/>
  <c r="R76" i="6" s="1"/>
  <c r="H76" i="6"/>
  <c r="J75" i="6"/>
  <c r="K75" i="6" s="1"/>
  <c r="H75" i="6"/>
  <c r="J74" i="6"/>
  <c r="S74" i="6" s="1"/>
  <c r="H74" i="6"/>
  <c r="J73" i="6"/>
  <c r="K73" i="6" s="1"/>
  <c r="H73" i="6"/>
  <c r="J72" i="6"/>
  <c r="K72" i="6" s="1"/>
  <c r="H72" i="6"/>
  <c r="J71" i="6"/>
  <c r="K71" i="6" s="1"/>
  <c r="H71" i="6"/>
  <c r="J70" i="6"/>
  <c r="S70" i="6" s="1"/>
  <c r="H70" i="6"/>
  <c r="J69" i="6"/>
  <c r="K69" i="6" s="1"/>
  <c r="H69" i="6"/>
  <c r="J68" i="6"/>
  <c r="K68" i="6" s="1"/>
  <c r="H68" i="6"/>
  <c r="J67" i="6"/>
  <c r="S67" i="6" s="1"/>
  <c r="H67" i="6"/>
  <c r="J66" i="6"/>
  <c r="S66" i="6" s="1"/>
  <c r="H66" i="6"/>
  <c r="J65" i="6"/>
  <c r="K65" i="6" s="1"/>
  <c r="H65" i="6"/>
  <c r="J64" i="6"/>
  <c r="K64" i="6" s="1"/>
  <c r="H64" i="6"/>
  <c r="J63" i="6"/>
  <c r="K63" i="6" s="1"/>
  <c r="H63" i="6"/>
  <c r="J62" i="6"/>
  <c r="S62" i="6" s="1"/>
  <c r="H62" i="6"/>
  <c r="J61" i="6"/>
  <c r="K61" i="6" s="1"/>
  <c r="H61" i="6"/>
  <c r="J60" i="6"/>
  <c r="K60" i="6" s="1"/>
  <c r="H60" i="6"/>
  <c r="J59" i="6"/>
  <c r="K59" i="6" s="1"/>
  <c r="H59" i="6"/>
  <c r="J58" i="6"/>
  <c r="K58" i="6" s="1"/>
  <c r="H58" i="6"/>
  <c r="J57" i="6"/>
  <c r="S57" i="6" s="1"/>
  <c r="H57" i="6"/>
  <c r="J56" i="6"/>
  <c r="K56" i="6" s="1"/>
  <c r="H56" i="6"/>
  <c r="J55" i="6"/>
  <c r="K55" i="6" s="1"/>
  <c r="R55" i="6" s="1"/>
  <c r="H55" i="6"/>
  <c r="J54" i="6"/>
  <c r="K54" i="6" s="1"/>
  <c r="H54" i="6"/>
  <c r="J53" i="6"/>
  <c r="S53" i="6" s="1"/>
  <c r="H53" i="6"/>
  <c r="J52" i="6"/>
  <c r="K52" i="6" s="1"/>
  <c r="H52" i="6"/>
  <c r="J51" i="6"/>
  <c r="S51" i="6" s="1"/>
  <c r="H51" i="6"/>
  <c r="J50" i="6"/>
  <c r="S50" i="6" s="1"/>
  <c r="H50" i="6"/>
  <c r="J49" i="6"/>
  <c r="S49" i="6" s="1"/>
  <c r="H49" i="6"/>
  <c r="J48" i="6"/>
  <c r="S48" i="6" s="1"/>
  <c r="H48" i="6"/>
  <c r="J47" i="6"/>
  <c r="K47" i="6" s="1"/>
  <c r="R47" i="6" s="1"/>
  <c r="H47" i="6"/>
  <c r="J46" i="6"/>
  <c r="K46" i="6" s="1"/>
  <c r="H46" i="6"/>
  <c r="J45" i="6"/>
  <c r="S45" i="6" s="1"/>
  <c r="H45" i="6"/>
  <c r="J44" i="6"/>
  <c r="S44" i="6" s="1"/>
  <c r="H44" i="6"/>
  <c r="J43" i="6"/>
  <c r="S43" i="6" s="1"/>
  <c r="H43" i="6"/>
  <c r="J42" i="6"/>
  <c r="K42" i="6" s="1"/>
  <c r="H42" i="6"/>
  <c r="J41" i="6"/>
  <c r="S41" i="6" s="1"/>
  <c r="H41" i="6"/>
  <c r="J40" i="6"/>
  <c r="S40" i="6" s="1"/>
  <c r="H40" i="6"/>
  <c r="J39" i="6"/>
  <c r="K39" i="6" s="1"/>
  <c r="R39" i="6" s="1"/>
  <c r="H39" i="6"/>
  <c r="J38" i="6"/>
  <c r="K38" i="6" s="1"/>
  <c r="H38" i="6"/>
  <c r="J37" i="6"/>
  <c r="S37" i="6" s="1"/>
  <c r="H37" i="6"/>
  <c r="J36" i="6"/>
  <c r="S36" i="6" s="1"/>
  <c r="H36" i="6"/>
  <c r="J35" i="6"/>
  <c r="S35" i="6" s="1"/>
  <c r="H35" i="6"/>
  <c r="J34" i="6"/>
  <c r="S34" i="6" s="1"/>
  <c r="H34" i="6"/>
  <c r="J33" i="6"/>
  <c r="S33" i="6" s="1"/>
  <c r="H33" i="6"/>
  <c r="J32" i="6"/>
  <c r="K32" i="6" s="1"/>
  <c r="H32" i="6"/>
  <c r="J31" i="6"/>
  <c r="K31" i="6" s="1"/>
  <c r="R31" i="6" s="1"/>
  <c r="H31" i="6"/>
  <c r="J30" i="6"/>
  <c r="K30" i="6" s="1"/>
  <c r="H30" i="6"/>
  <c r="J29" i="6"/>
  <c r="S29" i="6" s="1"/>
  <c r="H29" i="6"/>
  <c r="J28" i="6"/>
  <c r="S28" i="6" s="1"/>
  <c r="H28" i="6"/>
  <c r="J27" i="6"/>
  <c r="S27" i="6" s="1"/>
  <c r="H27" i="6"/>
  <c r="J26" i="6"/>
  <c r="K26" i="6" s="1"/>
  <c r="H26" i="6"/>
  <c r="J25" i="6"/>
  <c r="S25" i="6" s="1"/>
  <c r="H25" i="6"/>
  <c r="J24" i="6"/>
  <c r="K24" i="6" s="1"/>
  <c r="H24" i="6"/>
  <c r="J23" i="6"/>
  <c r="K23" i="6" s="1"/>
  <c r="R23" i="6" s="1"/>
  <c r="H23" i="6"/>
  <c r="J22" i="6"/>
  <c r="S22" i="6" s="1"/>
  <c r="H22" i="6"/>
  <c r="J21" i="6"/>
  <c r="S21" i="6" s="1"/>
  <c r="H21" i="6"/>
  <c r="J20" i="6"/>
  <c r="S20" i="6" s="1"/>
  <c r="H20" i="6"/>
  <c r="J19" i="6"/>
  <c r="K19" i="6" s="1"/>
  <c r="H19" i="6"/>
  <c r="J18" i="6"/>
  <c r="K18" i="6" s="1"/>
  <c r="H18" i="6"/>
  <c r="J17" i="6"/>
  <c r="S17" i="6" s="1"/>
  <c r="H17" i="6"/>
  <c r="J16" i="6"/>
  <c r="K16" i="6" s="1"/>
  <c r="H16" i="6"/>
  <c r="J15" i="6"/>
  <c r="K15" i="6" s="1"/>
  <c r="H15" i="6"/>
  <c r="J14" i="6"/>
  <c r="K14" i="6" s="1"/>
  <c r="H14" i="6"/>
  <c r="J13" i="6"/>
  <c r="S13" i="6" s="1"/>
  <c r="H13" i="6"/>
  <c r="J12" i="6"/>
  <c r="S12" i="6" s="1"/>
  <c r="H12" i="6"/>
  <c r="J11" i="6"/>
  <c r="K11" i="6" s="1"/>
  <c r="H11" i="6"/>
  <c r="J10" i="6"/>
  <c r="S10" i="6" s="1"/>
  <c r="H10" i="6"/>
  <c r="J9" i="6"/>
  <c r="S9" i="6" s="1"/>
  <c r="H9" i="6"/>
  <c r="J8" i="6"/>
  <c r="S8" i="6" s="1"/>
  <c r="H8" i="6"/>
  <c r="J7" i="6"/>
  <c r="S7" i="6" s="1"/>
  <c r="H7" i="6"/>
  <c r="J6" i="6"/>
  <c r="K6" i="6" s="1"/>
  <c r="R6" i="6" s="1"/>
  <c r="H6" i="6"/>
  <c r="J5" i="6"/>
  <c r="K5" i="6" s="1"/>
  <c r="H5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J4" i="6"/>
  <c r="S4" i="6" s="1"/>
  <c r="H4" i="6"/>
  <c r="J32" i="5"/>
  <c r="S32" i="5" s="1"/>
  <c r="H32" i="5"/>
  <c r="J31" i="5"/>
  <c r="K31" i="5" s="1"/>
  <c r="H31" i="5"/>
  <c r="J30" i="5"/>
  <c r="S30" i="5" s="1"/>
  <c r="U30" i="5" s="1"/>
  <c r="H30" i="5"/>
  <c r="J29" i="5"/>
  <c r="S29" i="5" s="1"/>
  <c r="H29" i="5"/>
  <c r="J28" i="5"/>
  <c r="K28" i="5" s="1"/>
  <c r="H28" i="5"/>
  <c r="J27" i="5"/>
  <c r="S27" i="5" s="1"/>
  <c r="H27" i="5"/>
  <c r="S26" i="5"/>
  <c r="J26" i="5"/>
  <c r="K26" i="5" s="1"/>
  <c r="H26" i="5"/>
  <c r="J25" i="5"/>
  <c r="K25" i="5" s="1"/>
  <c r="H25" i="5"/>
  <c r="K24" i="5"/>
  <c r="R24" i="5" s="1"/>
  <c r="J24" i="5"/>
  <c r="S24" i="5" s="1"/>
  <c r="H24" i="5"/>
  <c r="J23" i="5"/>
  <c r="S23" i="5" s="1"/>
  <c r="H23" i="5"/>
  <c r="K22" i="5"/>
  <c r="J22" i="5"/>
  <c r="S22" i="5" s="1"/>
  <c r="U22" i="5" s="1"/>
  <c r="H22" i="5"/>
  <c r="S21" i="5"/>
  <c r="J21" i="5"/>
  <c r="K21" i="5" s="1"/>
  <c r="H21" i="5"/>
  <c r="J20" i="5"/>
  <c r="S20" i="5" s="1"/>
  <c r="H20" i="5"/>
  <c r="K19" i="5"/>
  <c r="R19" i="5" s="1"/>
  <c r="J19" i="5"/>
  <c r="S19" i="5" s="1"/>
  <c r="H19" i="5"/>
  <c r="K18" i="5"/>
  <c r="L18" i="5" s="1"/>
  <c r="M18" i="5" s="1"/>
  <c r="J18" i="5"/>
  <c r="S18" i="5" s="1"/>
  <c r="H18" i="5"/>
  <c r="J17" i="5"/>
  <c r="S17" i="5" s="1"/>
  <c r="H17" i="5"/>
  <c r="J16" i="5"/>
  <c r="S16" i="5" s="1"/>
  <c r="H16" i="5"/>
  <c r="J15" i="5"/>
  <c r="K15" i="5" s="1"/>
  <c r="H15" i="5"/>
  <c r="S14" i="5"/>
  <c r="K14" i="5"/>
  <c r="R14" i="5" s="1"/>
  <c r="J14" i="5"/>
  <c r="H14" i="5"/>
  <c r="S13" i="5"/>
  <c r="K13" i="5"/>
  <c r="R13" i="5" s="1"/>
  <c r="J13" i="5"/>
  <c r="H13" i="5"/>
  <c r="J12" i="5"/>
  <c r="K12" i="5" s="1"/>
  <c r="H12" i="5"/>
  <c r="J11" i="5"/>
  <c r="S11" i="5" s="1"/>
  <c r="H11" i="5"/>
  <c r="J10" i="5"/>
  <c r="K10" i="5" s="1"/>
  <c r="H10" i="5"/>
  <c r="J9" i="5"/>
  <c r="K9" i="5" s="1"/>
  <c r="H9" i="5"/>
  <c r="J8" i="5"/>
  <c r="S8" i="5" s="1"/>
  <c r="H8" i="5"/>
  <c r="J7" i="5"/>
  <c r="S7" i="5" s="1"/>
  <c r="H7" i="5"/>
  <c r="S6" i="5"/>
  <c r="K6" i="5"/>
  <c r="J6" i="5"/>
  <c r="H6" i="5"/>
  <c r="J5" i="5"/>
  <c r="K5" i="5" s="1"/>
  <c r="H5" i="5"/>
  <c r="J4" i="5"/>
  <c r="S4" i="5" s="1"/>
  <c r="H4" i="5"/>
  <c r="S7" i="4"/>
  <c r="S11" i="4"/>
  <c r="R20" i="4"/>
  <c r="S20" i="4"/>
  <c r="S22" i="4"/>
  <c r="R25" i="4"/>
  <c r="S25" i="4"/>
  <c r="S27" i="4"/>
  <c r="R28" i="4"/>
  <c r="S28" i="4"/>
  <c r="S30" i="4"/>
  <c r="S31" i="4"/>
  <c r="J32" i="4"/>
  <c r="S32" i="4" s="1"/>
  <c r="H32" i="4"/>
  <c r="J31" i="4"/>
  <c r="K31" i="4" s="1"/>
  <c r="H31" i="4"/>
  <c r="J30" i="4"/>
  <c r="K30" i="4" s="1"/>
  <c r="R30" i="4" s="1"/>
  <c r="H30" i="4"/>
  <c r="J29" i="4"/>
  <c r="K29" i="4" s="1"/>
  <c r="R29" i="4" s="1"/>
  <c r="H29" i="4"/>
  <c r="K28" i="4"/>
  <c r="J28" i="4"/>
  <c r="H28" i="4"/>
  <c r="J27" i="4"/>
  <c r="K27" i="4" s="1"/>
  <c r="R27" i="4" s="1"/>
  <c r="H27" i="4"/>
  <c r="J26" i="4"/>
  <c r="K26" i="4" s="1"/>
  <c r="R26" i="4" s="1"/>
  <c r="H26" i="4"/>
  <c r="K25" i="4"/>
  <c r="J25" i="4"/>
  <c r="H25" i="4"/>
  <c r="J24" i="4"/>
  <c r="K24" i="4" s="1"/>
  <c r="R24" i="4" s="1"/>
  <c r="H24" i="4"/>
  <c r="J23" i="4"/>
  <c r="K23" i="4" s="1"/>
  <c r="R23" i="4" s="1"/>
  <c r="H23" i="4"/>
  <c r="J22" i="4"/>
  <c r="K22" i="4" s="1"/>
  <c r="R22" i="4" s="1"/>
  <c r="H22" i="4"/>
  <c r="J21" i="4"/>
  <c r="K21" i="4" s="1"/>
  <c r="R21" i="4" s="1"/>
  <c r="H21" i="4"/>
  <c r="J20" i="4"/>
  <c r="K20" i="4" s="1"/>
  <c r="H20" i="4"/>
  <c r="J19" i="4"/>
  <c r="K19" i="4" s="1"/>
  <c r="H19" i="4"/>
  <c r="J18" i="4"/>
  <c r="K18" i="4" s="1"/>
  <c r="R18" i="4" s="1"/>
  <c r="H18" i="4"/>
  <c r="J17" i="4"/>
  <c r="K17" i="4" s="1"/>
  <c r="L17" i="4" s="1"/>
  <c r="H17" i="4"/>
  <c r="J16" i="4"/>
  <c r="K16" i="4" s="1"/>
  <c r="R16" i="4" s="1"/>
  <c r="H16" i="4"/>
  <c r="J15" i="4"/>
  <c r="K15" i="4" s="1"/>
  <c r="R15" i="4" s="1"/>
  <c r="H15" i="4"/>
  <c r="J14" i="4"/>
  <c r="S14" i="4" s="1"/>
  <c r="H14" i="4"/>
  <c r="J13" i="4"/>
  <c r="K13" i="4" s="1"/>
  <c r="R13" i="4" s="1"/>
  <c r="H13" i="4"/>
  <c r="J12" i="4"/>
  <c r="K12" i="4" s="1"/>
  <c r="R12" i="4" s="1"/>
  <c r="H12" i="4"/>
  <c r="J11" i="4"/>
  <c r="K11" i="4" s="1"/>
  <c r="R11" i="4" s="1"/>
  <c r="H11" i="4"/>
  <c r="J10" i="4"/>
  <c r="K10" i="4" s="1"/>
  <c r="R10" i="4" s="1"/>
  <c r="H10" i="4"/>
  <c r="J9" i="4"/>
  <c r="K9" i="4" s="1"/>
  <c r="R9" i="4" s="1"/>
  <c r="H9" i="4"/>
  <c r="J8" i="4"/>
  <c r="K8" i="4" s="1"/>
  <c r="R8" i="4" s="1"/>
  <c r="H8" i="4"/>
  <c r="K7" i="4"/>
  <c r="L7" i="4" s="1"/>
  <c r="J7" i="4"/>
  <c r="H7" i="4"/>
  <c r="J6" i="4"/>
  <c r="K6" i="4" s="1"/>
  <c r="R6" i="4" s="1"/>
  <c r="H6" i="4"/>
  <c r="J5" i="4"/>
  <c r="K5" i="4" s="1"/>
  <c r="R5" i="4" s="1"/>
  <c r="H5" i="4"/>
  <c r="J4" i="4"/>
  <c r="K4" i="4" s="1"/>
  <c r="R4" i="4" s="1"/>
  <c r="H4" i="4"/>
  <c r="U10" i="5" l="1"/>
  <c r="L19" i="5"/>
  <c r="K30" i="5"/>
  <c r="R30" i="5" s="1"/>
  <c r="K8" i="5"/>
  <c r="R8" i="5" s="1"/>
  <c r="U6" i="5"/>
  <c r="U24" i="5"/>
  <c r="W12" i="5"/>
  <c r="U8" i="5"/>
  <c r="U9" i="5"/>
  <c r="W15" i="5"/>
  <c r="W31" i="5"/>
  <c r="W16" i="5"/>
  <c r="W32" i="5"/>
  <c r="S10" i="5"/>
  <c r="W18" i="5"/>
  <c r="S5" i="5"/>
  <c r="U5" i="5" s="1"/>
  <c r="W19" i="5"/>
  <c r="W20" i="5"/>
  <c r="U17" i="5"/>
  <c r="W21" i="5"/>
  <c r="K29" i="5"/>
  <c r="R29" i="5" s="1"/>
  <c r="M19" i="5"/>
  <c r="P19" i="5" s="1"/>
  <c r="W27" i="6"/>
  <c r="W35" i="6"/>
  <c r="W43" i="6"/>
  <c r="W62" i="6"/>
  <c r="W70" i="6"/>
  <c r="U22" i="6"/>
  <c r="U38" i="6"/>
  <c r="U46" i="6"/>
  <c r="U73" i="6"/>
  <c r="U57" i="6"/>
  <c r="U82" i="6"/>
  <c r="U31" i="6"/>
  <c r="U66" i="6"/>
  <c r="U74" i="6"/>
  <c r="U24" i="6"/>
  <c r="U40" i="6"/>
  <c r="U59" i="6"/>
  <c r="U67" i="6"/>
  <c r="W41" i="6"/>
  <c r="U50" i="6"/>
  <c r="U77" i="6"/>
  <c r="U34" i="6"/>
  <c r="U51" i="6"/>
  <c r="U78" i="6"/>
  <c r="U86" i="6"/>
  <c r="R31" i="4"/>
  <c r="L31" i="4"/>
  <c r="M31" i="4" s="1"/>
  <c r="L19" i="4"/>
  <c r="M19" i="4" s="1"/>
  <c r="R19" i="4"/>
  <c r="S19" i="4"/>
  <c r="S26" i="4"/>
  <c r="S18" i="4"/>
  <c r="S10" i="4"/>
  <c r="K14" i="4"/>
  <c r="R14" i="4" s="1"/>
  <c r="K32" i="4"/>
  <c r="R32" i="4" s="1"/>
  <c r="S4" i="4"/>
  <c r="S17" i="4"/>
  <c r="S9" i="4"/>
  <c r="R17" i="4"/>
  <c r="S24" i="4"/>
  <c r="S16" i="4"/>
  <c r="S8" i="4"/>
  <c r="S23" i="4"/>
  <c r="R7" i="4"/>
  <c r="S6" i="4"/>
  <c r="M17" i="4"/>
  <c r="S12" i="4"/>
  <c r="S15" i="4"/>
  <c r="S29" i="4"/>
  <c r="S21" i="4"/>
  <c r="S13" i="4"/>
  <c r="S5" i="4"/>
  <c r="S39" i="6"/>
  <c r="U39" i="6" s="1"/>
  <c r="K50" i="6"/>
  <c r="L50" i="6" s="1"/>
  <c r="S58" i="6"/>
  <c r="S55" i="6"/>
  <c r="S18" i="6"/>
  <c r="S26" i="6"/>
  <c r="U26" i="6" s="1"/>
  <c r="K70" i="6"/>
  <c r="S47" i="6"/>
  <c r="U47" i="6" s="1"/>
  <c r="S5" i="6"/>
  <c r="S42" i="6"/>
  <c r="U42" i="6" s="1"/>
  <c r="S79" i="6"/>
  <c r="U79" i="6" s="1"/>
  <c r="S6" i="6"/>
  <c r="S23" i="6"/>
  <c r="U23" i="6" s="1"/>
  <c r="L18" i="6"/>
  <c r="M18" i="6" s="1"/>
  <c r="R5" i="6"/>
  <c r="L5" i="6"/>
  <c r="M5" i="6" s="1"/>
  <c r="L79" i="6"/>
  <c r="M79" i="6" s="1"/>
  <c r="S46" i="6"/>
  <c r="K9" i="6"/>
  <c r="L9" i="6" s="1"/>
  <c r="S76" i="6"/>
  <c r="U76" i="6" s="1"/>
  <c r="K34" i="6"/>
  <c r="L34" i="6" s="1"/>
  <c r="S60" i="6"/>
  <c r="U60" i="6" s="1"/>
  <c r="K67" i="6"/>
  <c r="S72" i="6"/>
  <c r="U72" i="6" s="1"/>
  <c r="K27" i="6"/>
  <c r="R27" i="6" s="1"/>
  <c r="S11" i="6"/>
  <c r="S30" i="6"/>
  <c r="U30" i="6" s="1"/>
  <c r="K43" i="6"/>
  <c r="R43" i="6" s="1"/>
  <c r="S31" i="6"/>
  <c r="S63" i="6"/>
  <c r="U63" i="6" s="1"/>
  <c r="S75" i="6"/>
  <c r="S14" i="6"/>
  <c r="R63" i="6"/>
  <c r="L63" i="6"/>
  <c r="M63" i="6" s="1"/>
  <c r="R75" i="6"/>
  <c r="L75" i="6"/>
  <c r="M75" i="6" s="1"/>
  <c r="R14" i="6"/>
  <c r="L14" i="6"/>
  <c r="M14" i="6" s="1"/>
  <c r="R26" i="6"/>
  <c r="L26" i="6"/>
  <c r="M26" i="6" s="1"/>
  <c r="R58" i="6"/>
  <c r="L58" i="6"/>
  <c r="M58" i="6" s="1"/>
  <c r="L46" i="6"/>
  <c r="M46" i="6" s="1"/>
  <c r="R46" i="6"/>
  <c r="L71" i="6"/>
  <c r="M71" i="6" s="1"/>
  <c r="R71" i="6"/>
  <c r="R59" i="6"/>
  <c r="L59" i="6"/>
  <c r="M59" i="6" s="1"/>
  <c r="R42" i="6"/>
  <c r="L42" i="6"/>
  <c r="M42" i="6" s="1"/>
  <c r="R54" i="6"/>
  <c r="L54" i="6"/>
  <c r="M54" i="6" s="1"/>
  <c r="R83" i="6"/>
  <c r="L83" i="6"/>
  <c r="M83" i="6" s="1"/>
  <c r="R84" i="6"/>
  <c r="L84" i="6"/>
  <c r="M84" i="6" s="1"/>
  <c r="R30" i="6"/>
  <c r="L30" i="6"/>
  <c r="M30" i="6" s="1"/>
  <c r="R38" i="6"/>
  <c r="L38" i="6"/>
  <c r="M38" i="6" s="1"/>
  <c r="K74" i="6"/>
  <c r="K22" i="6"/>
  <c r="K62" i="6"/>
  <c r="K13" i="6"/>
  <c r="S15" i="6"/>
  <c r="K25" i="6"/>
  <c r="R25" i="6" s="1"/>
  <c r="K41" i="6"/>
  <c r="R41" i="6" s="1"/>
  <c r="K57" i="6"/>
  <c r="R57" i="6" s="1"/>
  <c r="R18" i="6"/>
  <c r="R79" i="6"/>
  <c r="K10" i="6"/>
  <c r="R10" i="6" s="1"/>
  <c r="K29" i="6"/>
  <c r="R29" i="6" s="1"/>
  <c r="K45" i="6"/>
  <c r="R45" i="6" s="1"/>
  <c r="K66" i="6"/>
  <c r="S68" i="6"/>
  <c r="U68" i="6" s="1"/>
  <c r="S84" i="6"/>
  <c r="U84" i="6" s="1"/>
  <c r="K4" i="6"/>
  <c r="R4" i="6" s="1"/>
  <c r="K17" i="6"/>
  <c r="S19" i="6"/>
  <c r="K35" i="6"/>
  <c r="R35" i="6" s="1"/>
  <c r="K51" i="6"/>
  <c r="R51" i="6" s="1"/>
  <c r="K80" i="6"/>
  <c r="R80" i="6" s="1"/>
  <c r="S38" i="6"/>
  <c r="S71" i="6"/>
  <c r="U71" i="6" s="1"/>
  <c r="S54" i="6"/>
  <c r="U54" i="6" s="1"/>
  <c r="S59" i="6"/>
  <c r="K78" i="6"/>
  <c r="R78" i="6" s="1"/>
  <c r="S83" i="6"/>
  <c r="U83" i="6" s="1"/>
  <c r="S85" i="6"/>
  <c r="U85" i="6" s="1"/>
  <c r="K8" i="6"/>
  <c r="R8" i="6" s="1"/>
  <c r="K33" i="6"/>
  <c r="R33" i="6" s="1"/>
  <c r="K49" i="6"/>
  <c r="R49" i="6" s="1"/>
  <c r="K21" i="6"/>
  <c r="R21" i="6" s="1"/>
  <c r="K37" i="6"/>
  <c r="R37" i="6" s="1"/>
  <c r="K53" i="6"/>
  <c r="R53" i="6" s="1"/>
  <c r="K82" i="6"/>
  <c r="R82" i="6" s="1"/>
  <c r="K87" i="6"/>
  <c r="S64" i="6"/>
  <c r="U64" i="6" s="1"/>
  <c r="L56" i="6"/>
  <c r="M56" i="6" s="1"/>
  <c r="P56" i="6" s="1"/>
  <c r="R56" i="6"/>
  <c r="L64" i="6"/>
  <c r="M64" i="6" s="1"/>
  <c r="P64" i="6" s="1"/>
  <c r="R64" i="6"/>
  <c r="L15" i="6"/>
  <c r="M15" i="6" s="1"/>
  <c r="R15" i="6"/>
  <c r="L65" i="6"/>
  <c r="M65" i="6" s="1"/>
  <c r="R65" i="6"/>
  <c r="L16" i="6"/>
  <c r="M16" i="6" s="1"/>
  <c r="R16" i="6"/>
  <c r="L69" i="6"/>
  <c r="M69" i="6" s="1"/>
  <c r="P69" i="6" s="1"/>
  <c r="R69" i="6"/>
  <c r="L85" i="6"/>
  <c r="M85" i="6" s="1"/>
  <c r="P85" i="6" s="1"/>
  <c r="R85" i="6"/>
  <c r="L68" i="6"/>
  <c r="M68" i="6" s="1"/>
  <c r="P68" i="6" s="1"/>
  <c r="R68" i="6"/>
  <c r="L32" i="6"/>
  <c r="M32" i="6" s="1"/>
  <c r="R32" i="6"/>
  <c r="L72" i="6"/>
  <c r="M72" i="6" s="1"/>
  <c r="R72" i="6"/>
  <c r="L24" i="6"/>
  <c r="M24" i="6" s="1"/>
  <c r="R24" i="6"/>
  <c r="L19" i="6"/>
  <c r="M19" i="6" s="1"/>
  <c r="P19" i="6" s="1"/>
  <c r="R19" i="6"/>
  <c r="L52" i="6"/>
  <c r="M52" i="6" s="1"/>
  <c r="P52" i="6" s="1"/>
  <c r="R52" i="6"/>
  <c r="L60" i="6"/>
  <c r="M60" i="6" s="1"/>
  <c r="R60" i="6"/>
  <c r="L11" i="6"/>
  <c r="M11" i="6" s="1"/>
  <c r="P11" i="6" s="1"/>
  <c r="R11" i="6"/>
  <c r="L73" i="6"/>
  <c r="M73" i="6" s="1"/>
  <c r="R73" i="6"/>
  <c r="L86" i="6"/>
  <c r="M86" i="6" s="1"/>
  <c r="P86" i="6" s="1"/>
  <c r="R86" i="6"/>
  <c r="L61" i="6"/>
  <c r="M61" i="6" s="1"/>
  <c r="P61" i="6" s="1"/>
  <c r="R61" i="6"/>
  <c r="K12" i="6"/>
  <c r="K7" i="6"/>
  <c r="K20" i="6"/>
  <c r="K28" i="6"/>
  <c r="K40" i="6"/>
  <c r="K77" i="6"/>
  <c r="K44" i="6"/>
  <c r="L6" i="6"/>
  <c r="M6" i="6" s="1"/>
  <c r="L23" i="6"/>
  <c r="M23" i="6" s="1"/>
  <c r="L31" i="6"/>
  <c r="M31" i="6" s="1"/>
  <c r="L39" i="6"/>
  <c r="M39" i="6" s="1"/>
  <c r="L47" i="6"/>
  <c r="M47" i="6" s="1"/>
  <c r="L55" i="6"/>
  <c r="M55" i="6" s="1"/>
  <c r="L76" i="6"/>
  <c r="M76" i="6" s="1"/>
  <c r="K36" i="6"/>
  <c r="K48" i="6"/>
  <c r="K81" i="6"/>
  <c r="S16" i="6"/>
  <c r="S61" i="6"/>
  <c r="U61" i="6" s="1"/>
  <c r="S65" i="6"/>
  <c r="U65" i="6" s="1"/>
  <c r="S69" i="6"/>
  <c r="U69" i="6" s="1"/>
  <c r="S73" i="6"/>
  <c r="S86" i="6"/>
  <c r="S24" i="6"/>
  <c r="S32" i="6"/>
  <c r="U32" i="6" s="1"/>
  <c r="S52" i="6"/>
  <c r="S56" i="6"/>
  <c r="L10" i="5"/>
  <c r="M10" i="5" s="1"/>
  <c r="R10" i="5"/>
  <c r="Q18" i="5"/>
  <c r="P18" i="5"/>
  <c r="N18" i="5"/>
  <c r="O18" i="5" s="1"/>
  <c r="N19" i="5"/>
  <c r="O19" i="5" s="1"/>
  <c r="L26" i="5"/>
  <c r="M26" i="5" s="1"/>
  <c r="R26" i="5"/>
  <c r="L15" i="5"/>
  <c r="M15" i="5" s="1"/>
  <c r="R15" i="5"/>
  <c r="L28" i="5"/>
  <c r="M28" i="5" s="1"/>
  <c r="R28" i="5"/>
  <c r="M12" i="5"/>
  <c r="P12" i="5" s="1"/>
  <c r="L12" i="5"/>
  <c r="R12" i="5"/>
  <c r="L25" i="5"/>
  <c r="M25" i="5" s="1"/>
  <c r="R25" i="5"/>
  <c r="L9" i="5"/>
  <c r="M9" i="5" s="1"/>
  <c r="R9" i="5"/>
  <c r="L21" i="5"/>
  <c r="R21" i="5"/>
  <c r="M21" i="5"/>
  <c r="L5" i="5"/>
  <c r="M5" i="5" s="1"/>
  <c r="R5" i="5"/>
  <c r="L31" i="5"/>
  <c r="M31" i="5" s="1"/>
  <c r="R31" i="5"/>
  <c r="R6" i="5"/>
  <c r="L8" i="5"/>
  <c r="M8" i="5" s="1"/>
  <c r="K11" i="5"/>
  <c r="R22" i="5"/>
  <c r="L24" i="5"/>
  <c r="M24" i="5" s="1"/>
  <c r="K27" i="5"/>
  <c r="S9" i="5"/>
  <c r="L14" i="5"/>
  <c r="M14" i="5" s="1"/>
  <c r="K17" i="5"/>
  <c r="S25" i="5"/>
  <c r="U25" i="5" s="1"/>
  <c r="L30" i="5"/>
  <c r="K4" i="5"/>
  <c r="S12" i="5"/>
  <c r="U12" i="5" s="1"/>
  <c r="K20" i="5"/>
  <c r="S28" i="5"/>
  <c r="M30" i="5"/>
  <c r="K7" i="5"/>
  <c r="S15" i="5"/>
  <c r="U15" i="5" s="1"/>
  <c r="R18" i="5"/>
  <c r="K23" i="5"/>
  <c r="S31" i="5"/>
  <c r="U31" i="5" s="1"/>
  <c r="L13" i="5"/>
  <c r="M13" i="5" s="1"/>
  <c r="K16" i="5"/>
  <c r="L29" i="5"/>
  <c r="M29" i="5" s="1"/>
  <c r="K32" i="5"/>
  <c r="L6" i="5"/>
  <c r="M6" i="5" s="1"/>
  <c r="P6" i="5" s="1"/>
  <c r="L22" i="5"/>
  <c r="M22" i="5" s="1"/>
  <c r="L12" i="4"/>
  <c r="M12" i="4" s="1"/>
  <c r="L5" i="4"/>
  <c r="M5" i="4" s="1"/>
  <c r="L21" i="4"/>
  <c r="M21" i="4" s="1"/>
  <c r="Q19" i="4"/>
  <c r="P19" i="4"/>
  <c r="N19" i="4"/>
  <c r="O19" i="4" s="1"/>
  <c r="L16" i="4"/>
  <c r="M16" i="4" s="1"/>
  <c r="L11" i="4"/>
  <c r="M11" i="4" s="1"/>
  <c r="L18" i="4"/>
  <c r="M18" i="4" s="1"/>
  <c r="L9" i="4"/>
  <c r="M9" i="4" s="1"/>
  <c r="L23" i="4"/>
  <c r="M23" i="4" s="1"/>
  <c r="L30" i="4"/>
  <c r="M30" i="4" s="1"/>
  <c r="M4" i="4"/>
  <c r="L4" i="4"/>
  <c r="M7" i="4"/>
  <c r="L29" i="4"/>
  <c r="M29" i="4" s="1"/>
  <c r="L13" i="4"/>
  <c r="M13" i="4" s="1"/>
  <c r="L24" i="4"/>
  <c r="M24" i="4" s="1"/>
  <c r="L8" i="4"/>
  <c r="M8" i="4" s="1"/>
  <c r="L15" i="4"/>
  <c r="M15" i="4" s="1"/>
  <c r="L26" i="4"/>
  <c r="M26" i="4" s="1"/>
  <c r="L10" i="4"/>
  <c r="M10" i="4" s="1"/>
  <c r="L27" i="4"/>
  <c r="M27" i="4" s="1"/>
  <c r="L22" i="4"/>
  <c r="M22" i="4" s="1"/>
  <c r="L6" i="4"/>
  <c r="M6" i="4" s="1"/>
  <c r="N17" i="4"/>
  <c r="O17" i="4" s="1"/>
  <c r="L25" i="4"/>
  <c r="M25" i="4" s="1"/>
  <c r="L28" i="4"/>
  <c r="M28" i="4" s="1"/>
  <c r="P7" i="4"/>
  <c r="P4" i="4"/>
  <c r="L20" i="4"/>
  <c r="M20" i="4" s="1"/>
  <c r="L32" i="4"/>
  <c r="M32" i="4" s="1"/>
  <c r="Q19" i="5" l="1"/>
  <c r="M34" i="6"/>
  <c r="P34" i="6" s="1"/>
  <c r="N31" i="4"/>
  <c r="O31" i="4" s="1"/>
  <c r="P31" i="4"/>
  <c r="Q31" i="4"/>
  <c r="P17" i="4"/>
  <c r="Q17" i="4"/>
  <c r="L14" i="4"/>
  <c r="M14" i="4" s="1"/>
  <c r="L80" i="6"/>
  <c r="M80" i="6" s="1"/>
  <c r="Q80" i="6" s="1"/>
  <c r="L51" i="6"/>
  <c r="M51" i="6" s="1"/>
  <c r="P51" i="6" s="1"/>
  <c r="L57" i="6"/>
  <c r="M57" i="6" s="1"/>
  <c r="N57" i="6" s="1"/>
  <c r="O57" i="6" s="1"/>
  <c r="L45" i="6"/>
  <c r="M45" i="6" s="1"/>
  <c r="P45" i="6" s="1"/>
  <c r="M50" i="6"/>
  <c r="N50" i="6" s="1"/>
  <c r="O50" i="6" s="1"/>
  <c r="R50" i="6"/>
  <c r="L82" i="6"/>
  <c r="M82" i="6" s="1"/>
  <c r="Q82" i="6" s="1"/>
  <c r="L53" i="6"/>
  <c r="M53" i="6" s="1"/>
  <c r="P53" i="6" s="1"/>
  <c r="P5" i="6"/>
  <c r="N5" i="6"/>
  <c r="O5" i="6" s="1"/>
  <c r="Q5" i="6"/>
  <c r="L49" i="6"/>
  <c r="M49" i="6" s="1"/>
  <c r="Q49" i="6" s="1"/>
  <c r="R70" i="6"/>
  <c r="L70" i="6"/>
  <c r="M70" i="6" s="1"/>
  <c r="P18" i="6"/>
  <c r="N18" i="6"/>
  <c r="O18" i="6" s="1"/>
  <c r="Q18" i="6"/>
  <c r="P79" i="6"/>
  <c r="N79" i="6"/>
  <c r="O79" i="6" s="1"/>
  <c r="Q79" i="6"/>
  <c r="R9" i="6"/>
  <c r="R67" i="6"/>
  <c r="L67" i="6"/>
  <c r="M67" i="6" s="1"/>
  <c r="L4" i="6"/>
  <c r="M4" i="6" s="1"/>
  <c r="N4" i="6" s="1"/>
  <c r="O4" i="6" s="1"/>
  <c r="M9" i="6"/>
  <c r="Q9" i="6" s="1"/>
  <c r="R34" i="6"/>
  <c r="L43" i="6"/>
  <c r="M43" i="6" s="1"/>
  <c r="Q43" i="6" s="1"/>
  <c r="L27" i="6"/>
  <c r="M27" i="6" s="1"/>
  <c r="Q27" i="6" s="1"/>
  <c r="Q63" i="6"/>
  <c r="N63" i="6"/>
  <c r="O63" i="6" s="1"/>
  <c r="P63" i="6"/>
  <c r="Q59" i="6"/>
  <c r="N59" i="6"/>
  <c r="O59" i="6" s="1"/>
  <c r="P59" i="6"/>
  <c r="Q42" i="6"/>
  <c r="N42" i="6"/>
  <c r="O42" i="6" s="1"/>
  <c r="P42" i="6"/>
  <c r="Q71" i="6"/>
  <c r="N71" i="6"/>
  <c r="O71" i="6" s="1"/>
  <c r="P71" i="6"/>
  <c r="Q46" i="6"/>
  <c r="P46" i="6"/>
  <c r="N46" i="6"/>
  <c r="O46" i="6" s="1"/>
  <c r="Q30" i="6"/>
  <c r="P30" i="6"/>
  <c r="N30" i="6"/>
  <c r="O30" i="6" s="1"/>
  <c r="N84" i="6"/>
  <c r="O84" i="6" s="1"/>
  <c r="Q84" i="6"/>
  <c r="P84" i="6"/>
  <c r="Q83" i="6"/>
  <c r="N83" i="6"/>
  <c r="O83" i="6" s="1"/>
  <c r="P83" i="6"/>
  <c r="Q26" i="6"/>
  <c r="N26" i="6"/>
  <c r="O26" i="6" s="1"/>
  <c r="P26" i="6"/>
  <c r="Q54" i="6"/>
  <c r="N54" i="6"/>
  <c r="O54" i="6" s="1"/>
  <c r="P54" i="6"/>
  <c r="P14" i="6"/>
  <c r="N14" i="6"/>
  <c r="O14" i="6" s="1"/>
  <c r="Q14" i="6"/>
  <c r="Q38" i="6"/>
  <c r="N38" i="6"/>
  <c r="O38" i="6" s="1"/>
  <c r="P38" i="6"/>
  <c r="Q75" i="6"/>
  <c r="N75" i="6"/>
  <c r="O75" i="6" s="1"/>
  <c r="P75" i="6"/>
  <c r="L29" i="6"/>
  <c r="M29" i="6" s="1"/>
  <c r="N29" i="6" s="1"/>
  <c r="O29" i="6" s="1"/>
  <c r="R62" i="6"/>
  <c r="L62" i="6"/>
  <c r="M62" i="6" s="1"/>
  <c r="R66" i="6"/>
  <c r="L66" i="6"/>
  <c r="M66" i="6" s="1"/>
  <c r="R22" i="6"/>
  <c r="L22" i="6"/>
  <c r="M22" i="6" s="1"/>
  <c r="L35" i="6"/>
  <c r="M35" i="6" s="1"/>
  <c r="P35" i="6" s="1"/>
  <c r="R74" i="6"/>
  <c r="L74" i="6"/>
  <c r="M74" i="6"/>
  <c r="Q34" i="6"/>
  <c r="N34" i="6"/>
  <c r="O34" i="6" s="1"/>
  <c r="L8" i="6"/>
  <c r="M8" i="6" s="1"/>
  <c r="N8" i="6" s="1"/>
  <c r="O8" i="6" s="1"/>
  <c r="L37" i="6"/>
  <c r="M37" i="6" s="1"/>
  <c r="L33" i="6"/>
  <c r="M33" i="6" s="1"/>
  <c r="P33" i="6" s="1"/>
  <c r="R87" i="6"/>
  <c r="L87" i="6"/>
  <c r="M87" i="6" s="1"/>
  <c r="Q58" i="6"/>
  <c r="P58" i="6"/>
  <c r="N58" i="6"/>
  <c r="O58" i="6" s="1"/>
  <c r="L21" i="6"/>
  <c r="M21" i="6" s="1"/>
  <c r="L10" i="6"/>
  <c r="M10" i="6" s="1"/>
  <c r="Q10" i="6" s="1"/>
  <c r="L78" i="6"/>
  <c r="M78" i="6" s="1"/>
  <c r="N78" i="6" s="1"/>
  <c r="O78" i="6" s="1"/>
  <c r="L25" i="6"/>
  <c r="M25" i="6" s="1"/>
  <c r="L41" i="6"/>
  <c r="M41" i="6" s="1"/>
  <c r="Q41" i="6" s="1"/>
  <c r="R17" i="6"/>
  <c r="L17" i="6"/>
  <c r="M17" i="6" s="1"/>
  <c r="R13" i="6"/>
  <c r="L13" i="6"/>
  <c r="M13" i="6" s="1"/>
  <c r="Q72" i="6"/>
  <c r="N72" i="6"/>
  <c r="O72" i="6" s="1"/>
  <c r="P72" i="6"/>
  <c r="Q60" i="6"/>
  <c r="N60" i="6"/>
  <c r="O60" i="6" s="1"/>
  <c r="P60" i="6"/>
  <c r="N16" i="6"/>
  <c r="O16" i="6" s="1"/>
  <c r="Q16" i="6"/>
  <c r="P16" i="6"/>
  <c r="P57" i="6"/>
  <c r="Q55" i="6"/>
  <c r="P55" i="6"/>
  <c r="N55" i="6"/>
  <c r="O55" i="6" s="1"/>
  <c r="Q15" i="6"/>
  <c r="N15" i="6"/>
  <c r="O15" i="6" s="1"/>
  <c r="P15" i="6"/>
  <c r="Q47" i="6"/>
  <c r="P47" i="6"/>
  <c r="N47" i="6"/>
  <c r="O47" i="6" s="1"/>
  <c r="N65" i="6"/>
  <c r="O65" i="6" s="1"/>
  <c r="Q65" i="6"/>
  <c r="P65" i="6"/>
  <c r="N24" i="6"/>
  <c r="O24" i="6" s="1"/>
  <c r="Q24" i="6"/>
  <c r="P24" i="6"/>
  <c r="Q6" i="6"/>
  <c r="P6" i="6"/>
  <c r="N6" i="6"/>
  <c r="O6" i="6" s="1"/>
  <c r="N73" i="6"/>
  <c r="O73" i="6" s="1"/>
  <c r="Q73" i="6"/>
  <c r="P73" i="6"/>
  <c r="N32" i="6"/>
  <c r="O32" i="6" s="1"/>
  <c r="Q32" i="6"/>
  <c r="Q76" i="6"/>
  <c r="P76" i="6"/>
  <c r="N76" i="6"/>
  <c r="O76" i="6" s="1"/>
  <c r="L44" i="6"/>
  <c r="M44" i="6" s="1"/>
  <c r="R44" i="6"/>
  <c r="N86" i="6"/>
  <c r="O86" i="6" s="1"/>
  <c r="Q86" i="6"/>
  <c r="N52" i="6"/>
  <c r="O52" i="6" s="1"/>
  <c r="Q52" i="6"/>
  <c r="Q39" i="6"/>
  <c r="P39" i="6"/>
  <c r="N39" i="6"/>
  <c r="O39" i="6" s="1"/>
  <c r="L40" i="6"/>
  <c r="M40" i="6" s="1"/>
  <c r="R40" i="6"/>
  <c r="Q19" i="6"/>
  <c r="N19" i="6"/>
  <c r="O19" i="6" s="1"/>
  <c r="Q68" i="6"/>
  <c r="N68" i="6"/>
  <c r="O68" i="6" s="1"/>
  <c r="Q23" i="6"/>
  <c r="P23" i="6"/>
  <c r="N23" i="6"/>
  <c r="O23" i="6" s="1"/>
  <c r="L77" i="6"/>
  <c r="M77" i="6" s="1"/>
  <c r="R77" i="6"/>
  <c r="Q64" i="6"/>
  <c r="N64" i="6"/>
  <c r="O64" i="6" s="1"/>
  <c r="N69" i="6"/>
  <c r="O69" i="6" s="1"/>
  <c r="Q69" i="6"/>
  <c r="N56" i="6"/>
  <c r="O56" i="6" s="1"/>
  <c r="Q56" i="6"/>
  <c r="L12" i="6"/>
  <c r="M12" i="6" s="1"/>
  <c r="R12" i="6"/>
  <c r="N61" i="6"/>
  <c r="O61" i="6" s="1"/>
  <c r="Q61" i="6"/>
  <c r="P32" i="6"/>
  <c r="L28" i="6"/>
  <c r="M28" i="6" s="1"/>
  <c r="R28" i="6"/>
  <c r="L81" i="6"/>
  <c r="M81" i="6" s="1"/>
  <c r="R81" i="6"/>
  <c r="L20" i="6"/>
  <c r="M20" i="6" s="1"/>
  <c r="R20" i="6"/>
  <c r="N45" i="6"/>
  <c r="O45" i="6" s="1"/>
  <c r="Q85" i="6"/>
  <c r="N85" i="6"/>
  <c r="O85" i="6" s="1"/>
  <c r="L7" i="6"/>
  <c r="M7" i="6" s="1"/>
  <c r="R7" i="6"/>
  <c r="Q31" i="6"/>
  <c r="P31" i="6"/>
  <c r="N31" i="6"/>
  <c r="O31" i="6" s="1"/>
  <c r="L48" i="6"/>
  <c r="M48" i="6" s="1"/>
  <c r="R48" i="6"/>
  <c r="Q11" i="6"/>
  <c r="N11" i="6"/>
  <c r="O11" i="6" s="1"/>
  <c r="L36" i="6"/>
  <c r="M36" i="6" s="1"/>
  <c r="R36" i="6"/>
  <c r="N28" i="5"/>
  <c r="O28" i="5" s="1"/>
  <c r="Q28" i="5"/>
  <c r="P28" i="5"/>
  <c r="Q22" i="5"/>
  <c r="P22" i="5"/>
  <c r="N22" i="5"/>
  <c r="O22" i="5" s="1"/>
  <c r="Q8" i="5"/>
  <c r="N8" i="5"/>
  <c r="O8" i="5" s="1"/>
  <c r="P8" i="5"/>
  <c r="N31" i="5"/>
  <c r="O31" i="5" s="1"/>
  <c r="Q31" i="5"/>
  <c r="P31" i="5"/>
  <c r="Q29" i="5"/>
  <c r="P29" i="5"/>
  <c r="N29" i="5"/>
  <c r="O29" i="5" s="1"/>
  <c r="P25" i="5"/>
  <c r="N25" i="5"/>
  <c r="O25" i="5" s="1"/>
  <c r="Q25" i="5"/>
  <c r="N15" i="5"/>
  <c r="O15" i="5" s="1"/>
  <c r="Q15" i="5"/>
  <c r="P15" i="5"/>
  <c r="Q26" i="5"/>
  <c r="P26" i="5"/>
  <c r="N26" i="5"/>
  <c r="O26" i="5" s="1"/>
  <c r="P9" i="5"/>
  <c r="N9" i="5"/>
  <c r="O9" i="5" s="1"/>
  <c r="Q9" i="5"/>
  <c r="Q13" i="5"/>
  <c r="P13" i="5"/>
  <c r="N13" i="5"/>
  <c r="O13" i="5" s="1"/>
  <c r="Q24" i="5"/>
  <c r="N24" i="5"/>
  <c r="O24" i="5" s="1"/>
  <c r="P24" i="5"/>
  <c r="Q5" i="5"/>
  <c r="N5" i="5"/>
  <c r="O5" i="5" s="1"/>
  <c r="P5" i="5"/>
  <c r="Q14" i="5"/>
  <c r="N14" i="5"/>
  <c r="O14" i="5" s="1"/>
  <c r="P14" i="5"/>
  <c r="Q10" i="5"/>
  <c r="P10" i="5"/>
  <c r="N10" i="5"/>
  <c r="O10" i="5" s="1"/>
  <c r="Q21" i="5"/>
  <c r="P21" i="5"/>
  <c r="N21" i="5"/>
  <c r="O21" i="5" s="1"/>
  <c r="N6" i="5"/>
  <c r="O6" i="5" s="1"/>
  <c r="Q6" i="5"/>
  <c r="R27" i="5"/>
  <c r="L27" i="5"/>
  <c r="M27" i="5" s="1"/>
  <c r="R16" i="5"/>
  <c r="L16" i="5"/>
  <c r="M16" i="5" s="1"/>
  <c r="R7" i="5"/>
  <c r="L7" i="5"/>
  <c r="M7" i="5"/>
  <c r="Q30" i="5"/>
  <c r="P30" i="5"/>
  <c r="N30" i="5"/>
  <c r="O30" i="5" s="1"/>
  <c r="R17" i="5"/>
  <c r="L17" i="5"/>
  <c r="M17" i="5" s="1"/>
  <c r="N12" i="5"/>
  <c r="O12" i="5" s="1"/>
  <c r="Q12" i="5"/>
  <c r="R20" i="5"/>
  <c r="L20" i="5"/>
  <c r="M20" i="5" s="1"/>
  <c r="R4" i="5"/>
  <c r="L4" i="5"/>
  <c r="M4" i="5" s="1"/>
  <c r="R23" i="5"/>
  <c r="L23" i="5"/>
  <c r="M23" i="5" s="1"/>
  <c r="R11" i="5"/>
  <c r="L11" i="5"/>
  <c r="M11" i="5" s="1"/>
  <c r="R32" i="5"/>
  <c r="L32" i="5"/>
  <c r="M32" i="5" s="1"/>
  <c r="Q8" i="4"/>
  <c r="P8" i="4"/>
  <c r="N8" i="4"/>
  <c r="O8" i="4" s="1"/>
  <c r="N13" i="4"/>
  <c r="O13" i="4" s="1"/>
  <c r="Q13" i="4"/>
  <c r="P13" i="4"/>
  <c r="N29" i="4"/>
  <c r="O29" i="4" s="1"/>
  <c r="Q29" i="4"/>
  <c r="P29" i="4"/>
  <c r="Q5" i="4"/>
  <c r="N5" i="4"/>
  <c r="O5" i="4" s="1"/>
  <c r="P5" i="4"/>
  <c r="N28" i="4"/>
  <c r="O28" i="4" s="1"/>
  <c r="Q28" i="4"/>
  <c r="P28" i="4"/>
  <c r="Q12" i="4"/>
  <c r="P12" i="4"/>
  <c r="N12" i="4"/>
  <c r="O12" i="4" s="1"/>
  <c r="Q32" i="4"/>
  <c r="P32" i="4"/>
  <c r="N32" i="4"/>
  <c r="O32" i="4" s="1"/>
  <c r="Q21" i="4"/>
  <c r="N21" i="4"/>
  <c r="O21" i="4" s="1"/>
  <c r="P21" i="4"/>
  <c r="N22" i="4"/>
  <c r="O22" i="4" s="1"/>
  <c r="Q22" i="4"/>
  <c r="P22" i="4"/>
  <c r="Q14" i="4"/>
  <c r="N14" i="4"/>
  <c r="O14" i="4" s="1"/>
  <c r="P14" i="4"/>
  <c r="Q23" i="4"/>
  <c r="N23" i="4"/>
  <c r="O23" i="4" s="1"/>
  <c r="P23" i="4"/>
  <c r="Q16" i="4"/>
  <c r="N16" i="4"/>
  <c r="O16" i="4" s="1"/>
  <c r="P16" i="4"/>
  <c r="Q20" i="4"/>
  <c r="N20" i="4"/>
  <c r="O20" i="4" s="1"/>
  <c r="P20" i="4"/>
  <c r="N6" i="4"/>
  <c r="O6" i="4" s="1"/>
  <c r="Q6" i="4"/>
  <c r="P6" i="4"/>
  <c r="Q27" i="4"/>
  <c r="N27" i="4"/>
  <c r="O27" i="4" s="1"/>
  <c r="P27" i="4"/>
  <c r="Q9" i="4"/>
  <c r="N9" i="4"/>
  <c r="O9" i="4" s="1"/>
  <c r="P9" i="4"/>
  <c r="N10" i="4"/>
  <c r="O10" i="4" s="1"/>
  <c r="Q10" i="4"/>
  <c r="P10" i="4"/>
  <c r="Q18" i="4"/>
  <c r="N18" i="4"/>
  <c r="O18" i="4" s="1"/>
  <c r="P18" i="4"/>
  <c r="Q11" i="4"/>
  <c r="N11" i="4"/>
  <c r="O11" i="4" s="1"/>
  <c r="P11" i="4"/>
  <c r="Q7" i="4"/>
  <c r="N7" i="4"/>
  <c r="O7" i="4" s="1"/>
  <c r="Q25" i="4"/>
  <c r="N25" i="4"/>
  <c r="O25" i="4" s="1"/>
  <c r="Q24" i="4"/>
  <c r="P24" i="4"/>
  <c r="N24" i="4"/>
  <c r="O24" i="4" s="1"/>
  <c r="N15" i="4"/>
  <c r="O15" i="4" s="1"/>
  <c r="P15" i="4"/>
  <c r="Q15" i="4"/>
  <c r="Q4" i="4"/>
  <c r="N4" i="4"/>
  <c r="O4" i="4" s="1"/>
  <c r="N26" i="4"/>
  <c r="O26" i="4" s="1"/>
  <c r="Q26" i="4"/>
  <c r="P26" i="4"/>
  <c r="Q30" i="4"/>
  <c r="N30" i="4"/>
  <c r="O30" i="4" s="1"/>
  <c r="P30" i="4"/>
  <c r="P25" i="4"/>
  <c r="Q53" i="6" l="1"/>
  <c r="N9" i="6"/>
  <c r="O9" i="6" s="1"/>
  <c r="Q45" i="6"/>
  <c r="P9" i="6"/>
  <c r="N51" i="6"/>
  <c r="O51" i="6" s="1"/>
  <c r="Q51" i="6"/>
  <c r="Q50" i="6"/>
  <c r="N53" i="6"/>
  <c r="O53" i="6" s="1"/>
  <c r="N80" i="6"/>
  <c r="O80" i="6" s="1"/>
  <c r="P80" i="6"/>
  <c r="Q57" i="6"/>
  <c r="P49" i="6"/>
  <c r="N49" i="6"/>
  <c r="O49" i="6" s="1"/>
  <c r="N43" i="6"/>
  <c r="O43" i="6" s="1"/>
  <c r="P78" i="6"/>
  <c r="Q78" i="6"/>
  <c r="P82" i="6"/>
  <c r="N82" i="6"/>
  <c r="O82" i="6" s="1"/>
  <c r="P50" i="6"/>
  <c r="P25" i="6"/>
  <c r="Q25" i="6"/>
  <c r="Q4" i="6"/>
  <c r="Q8" i="6"/>
  <c r="N70" i="6"/>
  <c r="O70" i="6" s="1"/>
  <c r="Q70" i="6"/>
  <c r="P70" i="6"/>
  <c r="P41" i="6"/>
  <c r="N41" i="6"/>
  <c r="O41" i="6" s="1"/>
  <c r="Q67" i="6"/>
  <c r="P67" i="6"/>
  <c r="N67" i="6"/>
  <c r="O67" i="6" s="1"/>
  <c r="N27" i="6"/>
  <c r="O27" i="6" s="1"/>
  <c r="P27" i="6"/>
  <c r="P43" i="6"/>
  <c r="Q35" i="6"/>
  <c r="P4" i="6"/>
  <c r="P8" i="6"/>
  <c r="P21" i="6"/>
  <c r="Q21" i="6"/>
  <c r="N21" i="6"/>
  <c r="O21" i="6" s="1"/>
  <c r="Q62" i="6"/>
  <c r="N62" i="6"/>
  <c r="O62" i="6" s="1"/>
  <c r="P62" i="6"/>
  <c r="Q22" i="6"/>
  <c r="N22" i="6"/>
  <c r="O22" i="6" s="1"/>
  <c r="P22" i="6"/>
  <c r="N66" i="6"/>
  <c r="O66" i="6" s="1"/>
  <c r="Q66" i="6"/>
  <c r="P66" i="6"/>
  <c r="P13" i="6"/>
  <c r="Q13" i="6"/>
  <c r="N13" i="6"/>
  <c r="O13" i="6" s="1"/>
  <c r="Q17" i="6"/>
  <c r="P17" i="6"/>
  <c r="N17" i="6"/>
  <c r="O17" i="6" s="1"/>
  <c r="Q87" i="6"/>
  <c r="P87" i="6"/>
  <c r="N87" i="6"/>
  <c r="O87" i="6" s="1"/>
  <c r="N37" i="6"/>
  <c r="O37" i="6" s="1"/>
  <c r="P37" i="6"/>
  <c r="Q37" i="6"/>
  <c r="N25" i="6"/>
  <c r="O25" i="6" s="1"/>
  <c r="N33" i="6"/>
  <c r="O33" i="6" s="1"/>
  <c r="Q33" i="6"/>
  <c r="P29" i="6"/>
  <c r="N35" i="6"/>
  <c r="O35" i="6" s="1"/>
  <c r="Q29" i="6"/>
  <c r="N10" i="6"/>
  <c r="O10" i="6" s="1"/>
  <c r="P10" i="6"/>
  <c r="Q74" i="6"/>
  <c r="N74" i="6"/>
  <c r="O74" i="6" s="1"/>
  <c r="P74" i="6"/>
  <c r="N44" i="6"/>
  <c r="O44" i="6" s="1"/>
  <c r="Q44" i="6"/>
  <c r="P44" i="6"/>
  <c r="N20" i="6"/>
  <c r="O20" i="6" s="1"/>
  <c r="Q20" i="6"/>
  <c r="P20" i="6"/>
  <c r="N40" i="6"/>
  <c r="O40" i="6" s="1"/>
  <c r="Q40" i="6"/>
  <c r="P40" i="6"/>
  <c r="N12" i="6"/>
  <c r="O12" i="6" s="1"/>
  <c r="Q12" i="6"/>
  <c r="P12" i="6"/>
  <c r="N77" i="6"/>
  <c r="O77" i="6" s="1"/>
  <c r="Q77" i="6"/>
  <c r="P77" i="6"/>
  <c r="N7" i="6"/>
  <c r="O7" i="6" s="1"/>
  <c r="Q7" i="6"/>
  <c r="P7" i="6"/>
  <c r="N36" i="6"/>
  <c r="O36" i="6" s="1"/>
  <c r="Q36" i="6"/>
  <c r="P36" i="6"/>
  <c r="N81" i="6"/>
  <c r="O81" i="6" s="1"/>
  <c r="Q81" i="6"/>
  <c r="P81" i="6"/>
  <c r="N48" i="6"/>
  <c r="O48" i="6" s="1"/>
  <c r="Q48" i="6"/>
  <c r="P48" i="6"/>
  <c r="N28" i="6"/>
  <c r="O28" i="6" s="1"/>
  <c r="Q28" i="6"/>
  <c r="P28" i="6"/>
  <c r="Q17" i="5"/>
  <c r="P17" i="5"/>
  <c r="N17" i="5"/>
  <c r="O17" i="5" s="1"/>
  <c r="N20" i="5"/>
  <c r="O20" i="5" s="1"/>
  <c r="Q20" i="5"/>
  <c r="P20" i="5"/>
  <c r="N11" i="5"/>
  <c r="O11" i="5" s="1"/>
  <c r="Q11" i="5"/>
  <c r="P11" i="5"/>
  <c r="Q32" i="5"/>
  <c r="N32" i="5"/>
  <c r="O32" i="5" s="1"/>
  <c r="P32" i="5"/>
  <c r="Q23" i="5"/>
  <c r="N23" i="5"/>
  <c r="O23" i="5" s="1"/>
  <c r="P23" i="5"/>
  <c r="N4" i="5"/>
  <c r="O4" i="5" s="1"/>
  <c r="Q4" i="5"/>
  <c r="P4" i="5"/>
  <c r="Q27" i="5"/>
  <c r="N27" i="5"/>
  <c r="O27" i="5" s="1"/>
  <c r="P27" i="5"/>
  <c r="Q7" i="5"/>
  <c r="N7" i="5"/>
  <c r="O7" i="5" s="1"/>
  <c r="P7" i="5"/>
  <c r="Q16" i="5"/>
  <c r="N16" i="5"/>
  <c r="O16" i="5" s="1"/>
  <c r="P16" i="5"/>
  <c r="S104" i="3"/>
  <c r="S103" i="3"/>
  <c r="J103" i="3"/>
  <c r="K103" i="3" s="1"/>
  <c r="H103" i="3"/>
  <c r="K102" i="3"/>
  <c r="R102" i="3" s="1"/>
  <c r="J102" i="3"/>
  <c r="S102" i="3" s="1"/>
  <c r="H102" i="3"/>
  <c r="K101" i="3"/>
  <c r="R101" i="3" s="1"/>
  <c r="J101" i="3"/>
  <c r="S101" i="3" s="1"/>
  <c r="H101" i="3"/>
  <c r="S100" i="3"/>
  <c r="J100" i="3"/>
  <c r="K100" i="3" s="1"/>
  <c r="H100" i="3"/>
  <c r="S99" i="3"/>
  <c r="S97" i="3"/>
  <c r="S96" i="3"/>
  <c r="J96" i="3"/>
  <c r="K96" i="3" s="1"/>
  <c r="H96" i="3"/>
  <c r="M95" i="3"/>
  <c r="Q95" i="3" s="1"/>
  <c r="L95" i="3"/>
  <c r="K95" i="3"/>
  <c r="R95" i="3" s="1"/>
  <c r="J95" i="3"/>
  <c r="S95" i="3" s="1"/>
  <c r="H95" i="3"/>
  <c r="K94" i="3"/>
  <c r="R94" i="3" s="1"/>
  <c r="J94" i="3"/>
  <c r="S94" i="3" s="1"/>
  <c r="H94" i="3"/>
  <c r="S93" i="3"/>
  <c r="J93" i="3"/>
  <c r="K93" i="3" s="1"/>
  <c r="H93" i="3"/>
  <c r="S92" i="3"/>
  <c r="J92" i="3"/>
  <c r="K92" i="3" s="1"/>
  <c r="H92" i="3"/>
  <c r="M91" i="3"/>
  <c r="Q91" i="3" s="1"/>
  <c r="L91" i="3"/>
  <c r="K91" i="3"/>
  <c r="R91" i="3" s="1"/>
  <c r="J91" i="3"/>
  <c r="S91" i="3" s="1"/>
  <c r="H91" i="3"/>
  <c r="K90" i="3"/>
  <c r="R90" i="3" s="1"/>
  <c r="J90" i="3"/>
  <c r="S90" i="3" s="1"/>
  <c r="H90" i="3"/>
  <c r="S89" i="3"/>
  <c r="J89" i="3"/>
  <c r="K89" i="3" s="1"/>
  <c r="H89" i="3"/>
  <c r="S88" i="3"/>
  <c r="S86" i="3"/>
  <c r="S85" i="3"/>
  <c r="R85" i="3"/>
  <c r="K85" i="3"/>
  <c r="J85" i="3"/>
  <c r="H85" i="3"/>
  <c r="S84" i="3"/>
  <c r="J84" i="3"/>
  <c r="K84" i="3" s="1"/>
  <c r="H84" i="3"/>
  <c r="K83" i="3"/>
  <c r="R83" i="3" s="1"/>
  <c r="J83" i="3"/>
  <c r="S83" i="3" s="1"/>
  <c r="H83" i="3"/>
  <c r="K82" i="3"/>
  <c r="R82" i="3" s="1"/>
  <c r="J82" i="3"/>
  <c r="S82" i="3" s="1"/>
  <c r="H82" i="3"/>
  <c r="S81" i="3"/>
  <c r="R81" i="3"/>
  <c r="K81" i="3"/>
  <c r="J81" i="3"/>
  <c r="H81" i="3"/>
  <c r="S80" i="3"/>
  <c r="J80" i="3"/>
  <c r="K80" i="3" s="1"/>
  <c r="H80" i="3"/>
  <c r="J79" i="3"/>
  <c r="S79" i="3" s="1"/>
  <c r="H79" i="3"/>
  <c r="K78" i="3"/>
  <c r="R78" i="3" s="1"/>
  <c r="J78" i="3"/>
  <c r="S78" i="3" s="1"/>
  <c r="H78" i="3"/>
  <c r="S77" i="3"/>
  <c r="R77" i="3"/>
  <c r="K77" i="3"/>
  <c r="J77" i="3"/>
  <c r="H77" i="3"/>
  <c r="S76" i="3"/>
  <c r="J76" i="3"/>
  <c r="K76" i="3" s="1"/>
  <c r="H76" i="3"/>
  <c r="J75" i="3"/>
  <c r="S75" i="3" s="1"/>
  <c r="H75" i="3"/>
  <c r="K74" i="3"/>
  <c r="R74" i="3" s="1"/>
  <c r="J74" i="3"/>
  <c r="S74" i="3" s="1"/>
  <c r="H74" i="3"/>
  <c r="S73" i="3"/>
  <c r="R73" i="3"/>
  <c r="K73" i="3"/>
  <c r="J73" i="3"/>
  <c r="H73" i="3"/>
  <c r="S72" i="3"/>
  <c r="J72" i="3"/>
  <c r="K72" i="3" s="1"/>
  <c r="H72" i="3"/>
  <c r="J71" i="3"/>
  <c r="S71" i="3" s="1"/>
  <c r="H71" i="3"/>
  <c r="K70" i="3"/>
  <c r="R70" i="3" s="1"/>
  <c r="J70" i="3"/>
  <c r="S70" i="3" s="1"/>
  <c r="H70" i="3"/>
  <c r="S69" i="3"/>
  <c r="R69" i="3"/>
  <c r="K69" i="3"/>
  <c r="J69" i="3"/>
  <c r="H69" i="3"/>
  <c r="S68" i="3"/>
  <c r="S66" i="3"/>
  <c r="S65" i="3"/>
  <c r="J65" i="3"/>
  <c r="K65" i="3" s="1"/>
  <c r="H65" i="3"/>
  <c r="L64" i="3"/>
  <c r="M64" i="3" s="1"/>
  <c r="K64" i="3"/>
  <c r="R64" i="3" s="1"/>
  <c r="J64" i="3"/>
  <c r="S64" i="3" s="1"/>
  <c r="H64" i="3"/>
  <c r="K63" i="3"/>
  <c r="R63" i="3" s="1"/>
  <c r="J63" i="3"/>
  <c r="S63" i="3" s="1"/>
  <c r="H63" i="3"/>
  <c r="S62" i="3"/>
  <c r="J62" i="3"/>
  <c r="K62" i="3" s="1"/>
  <c r="H62" i="3"/>
  <c r="S61" i="3"/>
  <c r="J61" i="3"/>
  <c r="K61" i="3" s="1"/>
  <c r="H61" i="3"/>
  <c r="L60" i="3"/>
  <c r="M60" i="3" s="1"/>
  <c r="K60" i="3"/>
  <c r="R60" i="3" s="1"/>
  <c r="J60" i="3"/>
  <c r="S60" i="3" s="1"/>
  <c r="H60" i="3"/>
  <c r="K59" i="3"/>
  <c r="R59" i="3" s="1"/>
  <c r="J59" i="3"/>
  <c r="S59" i="3" s="1"/>
  <c r="H59" i="3"/>
  <c r="J58" i="3"/>
  <c r="S58" i="3" s="1"/>
  <c r="H58" i="3"/>
  <c r="S57" i="3"/>
  <c r="J57" i="3"/>
  <c r="K57" i="3" s="1"/>
  <c r="H57" i="3"/>
  <c r="L56" i="3"/>
  <c r="M56" i="3" s="1"/>
  <c r="K56" i="3"/>
  <c r="R56" i="3" s="1"/>
  <c r="J56" i="3"/>
  <c r="S56" i="3" s="1"/>
  <c r="H56" i="3"/>
  <c r="K55" i="3"/>
  <c r="R55" i="3" s="1"/>
  <c r="J55" i="3"/>
  <c r="S55" i="3" s="1"/>
  <c r="H55" i="3"/>
  <c r="S54" i="3"/>
  <c r="J54" i="3"/>
  <c r="K54" i="3" s="1"/>
  <c r="H54" i="3"/>
  <c r="S53" i="3"/>
  <c r="J53" i="3"/>
  <c r="K53" i="3" s="1"/>
  <c r="H53" i="3"/>
  <c r="L52" i="3"/>
  <c r="M52" i="3" s="1"/>
  <c r="K52" i="3"/>
  <c r="R52" i="3" s="1"/>
  <c r="J52" i="3"/>
  <c r="S52" i="3" s="1"/>
  <c r="H52" i="3"/>
  <c r="K51" i="3"/>
  <c r="R51" i="3" s="1"/>
  <c r="J51" i="3"/>
  <c r="S51" i="3" s="1"/>
  <c r="H51" i="3"/>
  <c r="S50" i="3"/>
  <c r="J50" i="3"/>
  <c r="K50" i="3" s="1"/>
  <c r="H50" i="3"/>
  <c r="S49" i="3"/>
  <c r="J49" i="3"/>
  <c r="K49" i="3" s="1"/>
  <c r="H49" i="3"/>
  <c r="L48" i="3"/>
  <c r="M48" i="3" s="1"/>
  <c r="K48" i="3"/>
  <c r="R48" i="3" s="1"/>
  <c r="J48" i="3"/>
  <c r="S48" i="3" s="1"/>
  <c r="H48" i="3"/>
  <c r="K47" i="3"/>
  <c r="R47" i="3" s="1"/>
  <c r="J47" i="3"/>
  <c r="S47" i="3" s="1"/>
  <c r="H47" i="3"/>
  <c r="S46" i="3"/>
  <c r="J46" i="3"/>
  <c r="K46" i="3" s="1"/>
  <c r="H46" i="3"/>
  <c r="S45" i="3"/>
  <c r="J45" i="3"/>
  <c r="K45" i="3" s="1"/>
  <c r="H45" i="3"/>
  <c r="L44" i="3"/>
  <c r="M44" i="3" s="1"/>
  <c r="K44" i="3"/>
  <c r="R44" i="3" s="1"/>
  <c r="J44" i="3"/>
  <c r="S44" i="3" s="1"/>
  <c r="H44" i="3"/>
  <c r="K43" i="3"/>
  <c r="R43" i="3" s="1"/>
  <c r="J43" i="3"/>
  <c r="S43" i="3" s="1"/>
  <c r="H43" i="3"/>
  <c r="S42" i="3"/>
  <c r="J42" i="3"/>
  <c r="K42" i="3" s="1"/>
  <c r="H42" i="3"/>
  <c r="S41" i="3"/>
  <c r="J41" i="3"/>
  <c r="K41" i="3" s="1"/>
  <c r="H41" i="3"/>
  <c r="L40" i="3"/>
  <c r="M40" i="3" s="1"/>
  <c r="K40" i="3"/>
  <c r="R40" i="3" s="1"/>
  <c r="J40" i="3"/>
  <c r="S40" i="3" s="1"/>
  <c r="H40" i="3"/>
  <c r="K39" i="3"/>
  <c r="R39" i="3" s="1"/>
  <c r="J39" i="3"/>
  <c r="S39" i="3" s="1"/>
  <c r="H39" i="3"/>
  <c r="S38" i="3"/>
  <c r="J38" i="3"/>
  <c r="K38" i="3" s="1"/>
  <c r="H38" i="3"/>
  <c r="S37" i="3"/>
  <c r="J37" i="3"/>
  <c r="K37" i="3" s="1"/>
  <c r="H37" i="3"/>
  <c r="L36" i="3"/>
  <c r="M36" i="3" s="1"/>
  <c r="K36" i="3"/>
  <c r="R36" i="3" s="1"/>
  <c r="J36" i="3"/>
  <c r="S36" i="3" s="1"/>
  <c r="H36" i="3"/>
  <c r="K35" i="3"/>
  <c r="R35" i="3" s="1"/>
  <c r="J35" i="3"/>
  <c r="S35" i="3" s="1"/>
  <c r="H35" i="3"/>
  <c r="S34" i="3"/>
  <c r="J34" i="3"/>
  <c r="K34" i="3" s="1"/>
  <c r="H34" i="3"/>
  <c r="S33" i="3"/>
  <c r="J33" i="3"/>
  <c r="K33" i="3" s="1"/>
  <c r="H33" i="3"/>
  <c r="L32" i="3"/>
  <c r="M32" i="3" s="1"/>
  <c r="K32" i="3"/>
  <c r="R32" i="3" s="1"/>
  <c r="J32" i="3"/>
  <c r="S32" i="3" s="1"/>
  <c r="H32" i="3"/>
  <c r="P32" i="3" s="1"/>
  <c r="K31" i="3"/>
  <c r="R31" i="3" s="1"/>
  <c r="J31" i="3"/>
  <c r="S31" i="3" s="1"/>
  <c r="H31" i="3"/>
  <c r="S30" i="3"/>
  <c r="J30" i="3"/>
  <c r="K30" i="3" s="1"/>
  <c r="H30" i="3"/>
  <c r="S29" i="3"/>
  <c r="J29" i="3"/>
  <c r="K29" i="3" s="1"/>
  <c r="H29" i="3"/>
  <c r="L28" i="3"/>
  <c r="M28" i="3" s="1"/>
  <c r="K28" i="3"/>
  <c r="R28" i="3" s="1"/>
  <c r="J28" i="3"/>
  <c r="S28" i="3" s="1"/>
  <c r="H28" i="3"/>
  <c r="P28" i="3" s="1"/>
  <c r="K27" i="3"/>
  <c r="R27" i="3" s="1"/>
  <c r="J27" i="3"/>
  <c r="S27" i="3" s="1"/>
  <c r="H27" i="3"/>
  <c r="S26" i="3"/>
  <c r="S24" i="3"/>
  <c r="K23" i="3"/>
  <c r="R23" i="3" s="1"/>
  <c r="J23" i="3"/>
  <c r="S23" i="3" s="1"/>
  <c r="H23" i="3"/>
  <c r="S22" i="3"/>
  <c r="R22" i="3"/>
  <c r="K22" i="3"/>
  <c r="L22" i="3" s="1"/>
  <c r="J22" i="3"/>
  <c r="H22" i="3"/>
  <c r="S21" i="3"/>
  <c r="K21" i="3"/>
  <c r="L21" i="3" s="1"/>
  <c r="M21" i="3" s="1"/>
  <c r="J21" i="3"/>
  <c r="H21" i="3"/>
  <c r="J20" i="3"/>
  <c r="S20" i="3" s="1"/>
  <c r="H20" i="3"/>
  <c r="K19" i="3"/>
  <c r="R19" i="3" s="1"/>
  <c r="J19" i="3"/>
  <c r="S19" i="3" s="1"/>
  <c r="H19" i="3"/>
  <c r="S18" i="3"/>
  <c r="R18" i="3"/>
  <c r="K18" i="3"/>
  <c r="L18" i="3" s="1"/>
  <c r="J18" i="3"/>
  <c r="H18" i="3"/>
  <c r="S17" i="3"/>
  <c r="J17" i="3"/>
  <c r="K17" i="3" s="1"/>
  <c r="H17" i="3"/>
  <c r="J16" i="3"/>
  <c r="S16" i="3" s="1"/>
  <c r="H16" i="3"/>
  <c r="K15" i="3"/>
  <c r="R15" i="3" s="1"/>
  <c r="J15" i="3"/>
  <c r="S15" i="3" s="1"/>
  <c r="H15" i="3"/>
  <c r="S14" i="3"/>
  <c r="S12" i="3"/>
  <c r="S11" i="3"/>
  <c r="J11" i="3"/>
  <c r="K11" i="3" s="1"/>
  <c r="H11" i="3"/>
  <c r="S10" i="3"/>
  <c r="J10" i="3"/>
  <c r="K10" i="3" s="1"/>
  <c r="H10" i="3"/>
  <c r="L9" i="3"/>
  <c r="M9" i="3" s="1"/>
  <c r="K9" i="3"/>
  <c r="R9" i="3" s="1"/>
  <c r="J9" i="3"/>
  <c r="S9" i="3" s="1"/>
  <c r="H9" i="3"/>
  <c r="P9" i="3" s="1"/>
  <c r="J8" i="3"/>
  <c r="S8" i="3" s="1"/>
  <c r="H8" i="3"/>
  <c r="S7" i="3"/>
  <c r="J7" i="3"/>
  <c r="K7" i="3" s="1"/>
  <c r="H7" i="3"/>
  <c r="S6" i="3"/>
  <c r="J6" i="3"/>
  <c r="K6" i="3" s="1"/>
  <c r="H6" i="3"/>
  <c r="A6" i="3"/>
  <c r="A7" i="3" s="1"/>
  <c r="A8" i="3" s="1"/>
  <c r="A9" i="3" s="1"/>
  <c r="A10" i="3" s="1"/>
  <c r="A11" i="3" s="1"/>
  <c r="A15" i="3" s="1"/>
  <c r="A16" i="3" s="1"/>
  <c r="A17" i="3" s="1"/>
  <c r="A18" i="3" s="1"/>
  <c r="A19" i="3" s="1"/>
  <c r="A20" i="3" s="1"/>
  <c r="A21" i="3" s="1"/>
  <c r="A22" i="3" s="1"/>
  <c r="A23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9" i="3" s="1"/>
  <c r="A90" i="3" s="1"/>
  <c r="A91" i="3" s="1"/>
  <c r="A92" i="3" s="1"/>
  <c r="A93" i="3" s="1"/>
  <c r="A94" i="3" s="1"/>
  <c r="A95" i="3" s="1"/>
  <c r="A96" i="3" s="1"/>
  <c r="A100" i="3" s="1"/>
  <c r="A101" i="3" s="1"/>
  <c r="A103" i="3" s="1"/>
  <c r="A102" i="3" s="1"/>
  <c r="L5" i="3"/>
  <c r="M5" i="3" s="1"/>
  <c r="K5" i="3"/>
  <c r="R5" i="3" s="1"/>
  <c r="J5" i="3"/>
  <c r="S5" i="3" s="1"/>
  <c r="H5" i="3"/>
  <c r="P5" i="3" s="1"/>
  <c r="S4" i="3"/>
  <c r="A4" i="1"/>
  <c r="B3" i="1"/>
  <c r="P62" i="3" l="1"/>
  <c r="R42" i="3"/>
  <c r="L42" i="3"/>
  <c r="M42" i="3" s="1"/>
  <c r="M37" i="3"/>
  <c r="L37" i="3"/>
  <c r="R37" i="3"/>
  <c r="M103" i="3"/>
  <c r="L103" i="3"/>
  <c r="R103" i="3"/>
  <c r="R7" i="3"/>
  <c r="M7" i="3"/>
  <c r="L7" i="3"/>
  <c r="R62" i="3"/>
  <c r="M62" i="3"/>
  <c r="L62" i="3"/>
  <c r="Q21" i="3"/>
  <c r="P21" i="3"/>
  <c r="N21" i="3"/>
  <c r="O21" i="3" s="1"/>
  <c r="L33" i="3"/>
  <c r="M33" i="3" s="1"/>
  <c r="R33" i="3"/>
  <c r="R38" i="3"/>
  <c r="L38" i="3"/>
  <c r="M38" i="3" s="1"/>
  <c r="L80" i="3"/>
  <c r="M80" i="3" s="1"/>
  <c r="R80" i="3"/>
  <c r="Q32" i="3"/>
  <c r="N32" i="3"/>
  <c r="O32" i="3" s="1"/>
  <c r="M96" i="3"/>
  <c r="L96" i="3"/>
  <c r="R96" i="3"/>
  <c r="Q56" i="3"/>
  <c r="P56" i="3"/>
  <c r="N56" i="3"/>
  <c r="O56" i="3" s="1"/>
  <c r="M57" i="3"/>
  <c r="L57" i="3"/>
  <c r="R57" i="3"/>
  <c r="Q28" i="3"/>
  <c r="N28" i="3"/>
  <c r="O28" i="3" s="1"/>
  <c r="Q9" i="3"/>
  <c r="N9" i="3"/>
  <c r="O9" i="3" s="1"/>
  <c r="Q48" i="3"/>
  <c r="P48" i="3"/>
  <c r="N48" i="3"/>
  <c r="O48" i="3" s="1"/>
  <c r="M85" i="3"/>
  <c r="L29" i="3"/>
  <c r="M29" i="3" s="1"/>
  <c r="R29" i="3"/>
  <c r="M76" i="3"/>
  <c r="L76" i="3"/>
  <c r="R76" i="3"/>
  <c r="M92" i="3"/>
  <c r="L92" i="3"/>
  <c r="R92" i="3"/>
  <c r="Q52" i="3"/>
  <c r="P52" i="3"/>
  <c r="N52" i="3"/>
  <c r="O52" i="3" s="1"/>
  <c r="M81" i="3"/>
  <c r="L10" i="3"/>
  <c r="M10" i="3" s="1"/>
  <c r="R10" i="3"/>
  <c r="M49" i="3"/>
  <c r="L49" i="3"/>
  <c r="R49" i="3"/>
  <c r="R54" i="3"/>
  <c r="L54" i="3"/>
  <c r="M54" i="3" s="1"/>
  <c r="Q5" i="3"/>
  <c r="N5" i="3"/>
  <c r="O5" i="3" s="1"/>
  <c r="Q44" i="3"/>
  <c r="P44" i="3"/>
  <c r="N44" i="3"/>
  <c r="O44" i="3" s="1"/>
  <c r="Q64" i="3"/>
  <c r="P64" i="3"/>
  <c r="N64" i="3"/>
  <c r="O64" i="3" s="1"/>
  <c r="R30" i="3"/>
  <c r="L30" i="3"/>
  <c r="M30" i="3" s="1"/>
  <c r="M72" i="3"/>
  <c r="L72" i="3"/>
  <c r="R72" i="3"/>
  <c r="R93" i="3"/>
  <c r="L93" i="3"/>
  <c r="M93" i="3" s="1"/>
  <c r="M100" i="3"/>
  <c r="P100" i="3" s="1"/>
  <c r="L100" i="3"/>
  <c r="R100" i="3"/>
  <c r="Q36" i="3"/>
  <c r="P36" i="3"/>
  <c r="N36" i="3"/>
  <c r="O36" i="3" s="1"/>
  <c r="R11" i="3"/>
  <c r="L11" i="3"/>
  <c r="M11" i="3" s="1"/>
  <c r="L45" i="3"/>
  <c r="M45" i="3" s="1"/>
  <c r="R45" i="3"/>
  <c r="M65" i="3"/>
  <c r="L65" i="3"/>
  <c r="R65" i="3"/>
  <c r="Q40" i="3"/>
  <c r="P40" i="3"/>
  <c r="N40" i="3"/>
  <c r="O40" i="3" s="1"/>
  <c r="Q60" i="3"/>
  <c r="P60" i="3"/>
  <c r="N60" i="3"/>
  <c r="O60" i="3" s="1"/>
  <c r="R89" i="3"/>
  <c r="L89" i="3"/>
  <c r="M89" i="3" s="1"/>
  <c r="L84" i="3"/>
  <c r="M84" i="3" s="1"/>
  <c r="R84" i="3"/>
  <c r="L17" i="3"/>
  <c r="M17" i="3" s="1"/>
  <c r="R17" i="3"/>
  <c r="M53" i="3"/>
  <c r="L53" i="3"/>
  <c r="R53" i="3"/>
  <c r="R34" i="3"/>
  <c r="M34" i="3"/>
  <c r="L34" i="3"/>
  <c r="R50" i="3"/>
  <c r="L50" i="3"/>
  <c r="M50" i="3" s="1"/>
  <c r="L6" i="3"/>
  <c r="M6" i="3" s="1"/>
  <c r="R6" i="3"/>
  <c r="M41" i="3"/>
  <c r="L41" i="3"/>
  <c r="R41" i="3"/>
  <c r="R46" i="3"/>
  <c r="M46" i="3"/>
  <c r="L46" i="3"/>
  <c r="L61" i="3"/>
  <c r="M61" i="3" s="1"/>
  <c r="R61" i="3"/>
  <c r="L83" i="3"/>
  <c r="N91" i="3"/>
  <c r="O91" i="3" s="1"/>
  <c r="N95" i="3"/>
  <c r="O95" i="3" s="1"/>
  <c r="L102" i="3"/>
  <c r="M83" i="3"/>
  <c r="M102" i="3"/>
  <c r="R21" i="3"/>
  <c r="L27" i="3"/>
  <c r="M27" i="3" s="1"/>
  <c r="L31" i="3"/>
  <c r="L35" i="3"/>
  <c r="L39" i="3"/>
  <c r="M39" i="3" s="1"/>
  <c r="L43" i="3"/>
  <c r="L47" i="3"/>
  <c r="L51" i="3"/>
  <c r="M51" i="3" s="1"/>
  <c r="L55" i="3"/>
  <c r="L59" i="3"/>
  <c r="M59" i="3" s="1"/>
  <c r="L63" i="3"/>
  <c r="M63" i="3" s="1"/>
  <c r="L90" i="3"/>
  <c r="M90" i="3" s="1"/>
  <c r="P91" i="3"/>
  <c r="L94" i="3"/>
  <c r="M94" i="3" s="1"/>
  <c r="P95" i="3"/>
  <c r="K20" i="3"/>
  <c r="K79" i="3"/>
  <c r="K8" i="3"/>
  <c r="L70" i="3"/>
  <c r="M70" i="3" s="1"/>
  <c r="L74" i="3"/>
  <c r="M74" i="3" s="1"/>
  <c r="L78" i="3"/>
  <c r="M78" i="3" s="1"/>
  <c r="L82" i="3"/>
  <c r="M82" i="3" s="1"/>
  <c r="L101" i="3"/>
  <c r="M101" i="3" s="1"/>
  <c r="M43" i="3"/>
  <c r="M47" i="3"/>
  <c r="P47" i="3" s="1"/>
  <c r="M55" i="3"/>
  <c r="L19" i="3"/>
  <c r="M19" i="3"/>
  <c r="P19" i="3" s="1"/>
  <c r="K58" i="3"/>
  <c r="K75" i="3"/>
  <c r="M31" i="3"/>
  <c r="L15" i="3"/>
  <c r="M15" i="3" s="1"/>
  <c r="L23" i="3"/>
  <c r="M23" i="3" s="1"/>
  <c r="M35" i="3"/>
  <c r="P35" i="3" s="1"/>
  <c r="L69" i="3"/>
  <c r="M69" i="3" s="1"/>
  <c r="L73" i="3"/>
  <c r="M73" i="3" s="1"/>
  <c r="L77" i="3"/>
  <c r="M77" i="3" s="1"/>
  <c r="L81" i="3"/>
  <c r="L85" i="3"/>
  <c r="M18" i="3"/>
  <c r="M22" i="3"/>
  <c r="K71" i="3"/>
  <c r="K16" i="3"/>
  <c r="A5" i="1"/>
  <c r="B4" i="1"/>
  <c r="E3" i="1"/>
  <c r="D3" i="1"/>
  <c r="C3" i="1"/>
  <c r="Q54" i="3" l="1"/>
  <c r="N54" i="3"/>
  <c r="O54" i="3" s="1"/>
  <c r="P54" i="3"/>
  <c r="Q70" i="3"/>
  <c r="N70" i="3"/>
  <c r="O70" i="3" s="1"/>
  <c r="P70" i="3"/>
  <c r="Q90" i="3"/>
  <c r="N90" i="3"/>
  <c r="O90" i="3" s="1"/>
  <c r="P90" i="3"/>
  <c r="Q63" i="3"/>
  <c r="N63" i="3"/>
  <c r="O63" i="3" s="1"/>
  <c r="P63" i="3"/>
  <c r="Q89" i="3"/>
  <c r="N89" i="3"/>
  <c r="O89" i="3" s="1"/>
  <c r="P89" i="3"/>
  <c r="Q23" i="3"/>
  <c r="N23" i="3"/>
  <c r="O23" i="3" s="1"/>
  <c r="P23" i="3"/>
  <c r="N10" i="3"/>
  <c r="O10" i="3" s="1"/>
  <c r="Q10" i="3"/>
  <c r="P10" i="3"/>
  <c r="Q15" i="3"/>
  <c r="N15" i="3"/>
  <c r="O15" i="3" s="1"/>
  <c r="P15" i="3"/>
  <c r="Q94" i="3"/>
  <c r="N94" i="3"/>
  <c r="O94" i="3" s="1"/>
  <c r="P94" i="3"/>
  <c r="N61" i="3"/>
  <c r="O61" i="3" s="1"/>
  <c r="Q61" i="3"/>
  <c r="P61" i="3"/>
  <c r="Q80" i="3"/>
  <c r="P80" i="3"/>
  <c r="N80" i="3"/>
  <c r="O80" i="3" s="1"/>
  <c r="Q69" i="3"/>
  <c r="N69" i="3"/>
  <c r="O69" i="3" s="1"/>
  <c r="P69" i="3"/>
  <c r="Q50" i="3"/>
  <c r="N50" i="3"/>
  <c r="O50" i="3" s="1"/>
  <c r="P50" i="3"/>
  <c r="Q51" i="3"/>
  <c r="N51" i="3"/>
  <c r="O51" i="3" s="1"/>
  <c r="P51" i="3"/>
  <c r="N45" i="3"/>
  <c r="O45" i="3" s="1"/>
  <c r="P45" i="3"/>
  <c r="Q45" i="3"/>
  <c r="N38" i="3"/>
  <c r="O38" i="3" s="1"/>
  <c r="Q38" i="3"/>
  <c r="P38" i="3"/>
  <c r="Q73" i="3"/>
  <c r="N73" i="3"/>
  <c r="O73" i="3" s="1"/>
  <c r="P73" i="3"/>
  <c r="N6" i="3"/>
  <c r="O6" i="3" s="1"/>
  <c r="P6" i="3"/>
  <c r="Q6" i="3"/>
  <c r="P29" i="3"/>
  <c r="N29" i="3"/>
  <c r="O29" i="3" s="1"/>
  <c r="Q29" i="3"/>
  <c r="Q30" i="3"/>
  <c r="N30" i="3"/>
  <c r="O30" i="3" s="1"/>
  <c r="P30" i="3"/>
  <c r="N11" i="3"/>
  <c r="O11" i="3" s="1"/>
  <c r="Q11" i="3"/>
  <c r="P11" i="3"/>
  <c r="Q74" i="3"/>
  <c r="N74" i="3"/>
  <c r="O74" i="3" s="1"/>
  <c r="P74" i="3"/>
  <c r="Q27" i="3"/>
  <c r="N27" i="3"/>
  <c r="O27" i="3" s="1"/>
  <c r="P27" i="3"/>
  <c r="Q93" i="3"/>
  <c r="N93" i="3"/>
  <c r="O93" i="3" s="1"/>
  <c r="P93" i="3"/>
  <c r="Q59" i="3"/>
  <c r="N59" i="3"/>
  <c r="O59" i="3" s="1"/>
  <c r="P59" i="3"/>
  <c r="N17" i="3"/>
  <c r="O17" i="3" s="1"/>
  <c r="Q17" i="3"/>
  <c r="P17" i="3"/>
  <c r="Q82" i="3"/>
  <c r="N82" i="3"/>
  <c r="O82" i="3" s="1"/>
  <c r="P82" i="3"/>
  <c r="Q101" i="3"/>
  <c r="N101" i="3"/>
  <c r="O101" i="3" s="1"/>
  <c r="P101" i="3"/>
  <c r="Q77" i="3"/>
  <c r="N77" i="3"/>
  <c r="O77" i="3" s="1"/>
  <c r="P77" i="3"/>
  <c r="Q78" i="3"/>
  <c r="N78" i="3"/>
  <c r="O78" i="3" s="1"/>
  <c r="P78" i="3"/>
  <c r="Q39" i="3"/>
  <c r="N39" i="3"/>
  <c r="O39" i="3" s="1"/>
  <c r="P39" i="3"/>
  <c r="Q84" i="3"/>
  <c r="P84" i="3"/>
  <c r="N84" i="3"/>
  <c r="O84" i="3" s="1"/>
  <c r="N33" i="3"/>
  <c r="O33" i="3" s="1"/>
  <c r="Q33" i="3"/>
  <c r="P33" i="3"/>
  <c r="N42" i="3"/>
  <c r="O42" i="3" s="1"/>
  <c r="Q42" i="3"/>
  <c r="P42" i="3"/>
  <c r="Q46" i="3"/>
  <c r="N46" i="3"/>
  <c r="O46" i="3" s="1"/>
  <c r="N34" i="3"/>
  <c r="O34" i="3" s="1"/>
  <c r="Q34" i="3"/>
  <c r="N65" i="3"/>
  <c r="O65" i="3" s="1"/>
  <c r="Q65" i="3"/>
  <c r="P65" i="3"/>
  <c r="Q7" i="3"/>
  <c r="N7" i="3"/>
  <c r="O7" i="3" s="1"/>
  <c r="R79" i="3"/>
  <c r="L79" i="3"/>
  <c r="M79" i="3" s="1"/>
  <c r="R20" i="3"/>
  <c r="L20" i="3"/>
  <c r="M20" i="3" s="1"/>
  <c r="Q55" i="3"/>
  <c r="N55" i="3"/>
  <c r="O55" i="3" s="1"/>
  <c r="Q83" i="3"/>
  <c r="N83" i="3"/>
  <c r="O83" i="3" s="1"/>
  <c r="P55" i="3"/>
  <c r="Q81" i="3"/>
  <c r="P81" i="3"/>
  <c r="N81" i="3"/>
  <c r="O81" i="3" s="1"/>
  <c r="R8" i="3"/>
  <c r="M8" i="3"/>
  <c r="L8" i="3"/>
  <c r="Q47" i="3"/>
  <c r="N47" i="3"/>
  <c r="O47" i="3" s="1"/>
  <c r="N57" i="3"/>
  <c r="O57" i="3" s="1"/>
  <c r="Q57" i="3"/>
  <c r="P57" i="3"/>
  <c r="N41" i="3"/>
  <c r="O41" i="3" s="1"/>
  <c r="Q41" i="3"/>
  <c r="P41" i="3"/>
  <c r="Q43" i="3"/>
  <c r="N43" i="3"/>
  <c r="O43" i="3" s="1"/>
  <c r="Q31" i="3"/>
  <c r="N31" i="3"/>
  <c r="O31" i="3" s="1"/>
  <c r="Q102" i="3"/>
  <c r="N102" i="3"/>
  <c r="O102" i="3" s="1"/>
  <c r="N53" i="3"/>
  <c r="O53" i="3" s="1"/>
  <c r="Q53" i="3"/>
  <c r="P53" i="3"/>
  <c r="N37" i="3"/>
  <c r="O37" i="3" s="1"/>
  <c r="Q37" i="3"/>
  <c r="P37" i="3"/>
  <c r="P46" i="3"/>
  <c r="R71" i="3"/>
  <c r="L71" i="3"/>
  <c r="M71" i="3" s="1"/>
  <c r="P43" i="3"/>
  <c r="P34" i="3"/>
  <c r="Q35" i="3"/>
  <c r="N35" i="3"/>
  <c r="O35" i="3" s="1"/>
  <c r="Q85" i="3"/>
  <c r="P85" i="3"/>
  <c r="N85" i="3"/>
  <c r="O85" i="3" s="1"/>
  <c r="N92" i="3"/>
  <c r="O92" i="3" s="1"/>
  <c r="Q92" i="3"/>
  <c r="P92" i="3"/>
  <c r="P31" i="3"/>
  <c r="N49" i="3"/>
  <c r="O49" i="3" s="1"/>
  <c r="P49" i="3"/>
  <c r="Q49" i="3"/>
  <c r="Q76" i="3"/>
  <c r="P76" i="3"/>
  <c r="N76" i="3"/>
  <c r="O76" i="3" s="1"/>
  <c r="Q62" i="3"/>
  <c r="N62" i="3"/>
  <c r="O62" i="3" s="1"/>
  <c r="Q19" i="3"/>
  <c r="N19" i="3"/>
  <c r="O19" i="3" s="1"/>
  <c r="Q22" i="3"/>
  <c r="P22" i="3"/>
  <c r="N22" i="3"/>
  <c r="O22" i="3" s="1"/>
  <c r="Q18" i="3"/>
  <c r="P18" i="3"/>
  <c r="N18" i="3"/>
  <c r="O18" i="3" s="1"/>
  <c r="Q72" i="3"/>
  <c r="P72" i="3"/>
  <c r="N72" i="3"/>
  <c r="O72" i="3" s="1"/>
  <c r="N96" i="3"/>
  <c r="O96" i="3" s="1"/>
  <c r="Q96" i="3"/>
  <c r="P96" i="3"/>
  <c r="R16" i="3"/>
  <c r="L16" i="3"/>
  <c r="M16" i="3" s="1"/>
  <c r="Q100" i="3"/>
  <c r="N100" i="3"/>
  <c r="O100" i="3" s="1"/>
  <c r="R58" i="3"/>
  <c r="M58" i="3"/>
  <c r="L58" i="3"/>
  <c r="Q103" i="3"/>
  <c r="P103" i="3"/>
  <c r="N103" i="3"/>
  <c r="O103" i="3" s="1"/>
  <c r="P7" i="3"/>
  <c r="R75" i="3"/>
  <c r="L75" i="3"/>
  <c r="M75" i="3" s="1"/>
  <c r="P83" i="3"/>
  <c r="P102" i="3"/>
  <c r="B5" i="1"/>
  <c r="A6" i="1"/>
  <c r="C4" i="1"/>
  <c r="D4" i="1"/>
  <c r="E4" i="1"/>
  <c r="Q16" i="3" l="1"/>
  <c r="N16" i="3"/>
  <c r="O16" i="3" s="1"/>
  <c r="P16" i="3"/>
  <c r="Q20" i="3"/>
  <c r="N20" i="3"/>
  <c r="O20" i="3" s="1"/>
  <c r="P20" i="3"/>
  <c r="Q71" i="3"/>
  <c r="N71" i="3"/>
  <c r="O71" i="3" s="1"/>
  <c r="P71" i="3"/>
  <c r="Q75" i="3"/>
  <c r="N75" i="3"/>
  <c r="O75" i="3" s="1"/>
  <c r="P75" i="3"/>
  <c r="Q79" i="3"/>
  <c r="N79" i="3"/>
  <c r="O79" i="3" s="1"/>
  <c r="P79" i="3"/>
  <c r="Q58" i="3"/>
  <c r="N58" i="3"/>
  <c r="O58" i="3" s="1"/>
  <c r="P58" i="3"/>
  <c r="Q8" i="3"/>
  <c r="N8" i="3"/>
  <c r="O8" i="3" s="1"/>
  <c r="P8" i="3"/>
  <c r="C5" i="1"/>
  <c r="D5" i="1"/>
  <c r="E5" i="1"/>
  <c r="B6" i="1"/>
  <c r="A7" i="1"/>
  <c r="C6" i="1" l="1"/>
  <c r="D6" i="1"/>
  <c r="E6" i="1"/>
  <c r="B7" i="1"/>
  <c r="A8" i="1"/>
  <c r="C7" i="1" l="1"/>
  <c r="D7" i="1"/>
  <c r="E7" i="1"/>
  <c r="B8" i="1"/>
  <c r="A9" i="1"/>
  <c r="C8" i="1" l="1"/>
  <c r="E8" i="1"/>
  <c r="D8" i="1"/>
  <c r="A10" i="1"/>
  <c r="B9" i="1"/>
  <c r="A11" i="1" l="1"/>
  <c r="B10" i="1"/>
  <c r="C9" i="1"/>
  <c r="E9" i="1"/>
  <c r="D9" i="1"/>
  <c r="B11" i="1" l="1"/>
  <c r="A12" i="1"/>
  <c r="D10" i="1"/>
  <c r="E10" i="1"/>
  <c r="C10" i="1"/>
  <c r="C11" i="1" l="1"/>
  <c r="E11" i="1"/>
  <c r="D11" i="1"/>
  <c r="B12" i="1"/>
  <c r="A13" i="1"/>
  <c r="E12" i="1" l="1"/>
  <c r="D12" i="1"/>
  <c r="C12" i="1"/>
  <c r="B13" i="1"/>
  <c r="A14" i="1"/>
  <c r="E13" i="1" l="1"/>
  <c r="C13" i="1"/>
  <c r="D13" i="1"/>
  <c r="A15" i="1"/>
  <c r="B14" i="1"/>
  <c r="B15" i="1" l="1"/>
  <c r="A16" i="1"/>
  <c r="D14" i="1"/>
  <c r="C14" i="1"/>
  <c r="E14" i="1"/>
  <c r="E15" i="1" l="1"/>
  <c r="D15" i="1"/>
  <c r="C15" i="1"/>
  <c r="A17" i="1"/>
  <c r="B16" i="1"/>
  <c r="A18" i="1" l="1"/>
  <c r="B17" i="1"/>
  <c r="D16" i="1"/>
  <c r="C16" i="1"/>
  <c r="E16" i="1"/>
  <c r="B18" i="1" l="1"/>
  <c r="A19" i="1"/>
  <c r="E17" i="1"/>
  <c r="C17" i="1"/>
  <c r="D17" i="1"/>
  <c r="E18" i="1" l="1"/>
  <c r="C18" i="1"/>
  <c r="D18" i="1"/>
  <c r="B19" i="1"/>
  <c r="A20" i="1"/>
  <c r="C19" i="1" l="1"/>
  <c r="E19" i="1"/>
  <c r="D19" i="1"/>
  <c r="A21" i="1"/>
  <c r="B20" i="1"/>
  <c r="A22" i="1" l="1"/>
  <c r="B21" i="1"/>
  <c r="E20" i="1"/>
  <c r="D20" i="1"/>
  <c r="C20" i="1"/>
  <c r="B22" i="1" l="1"/>
  <c r="A23" i="1"/>
  <c r="E21" i="1"/>
  <c r="D21" i="1"/>
  <c r="C21" i="1"/>
  <c r="D22" i="1" l="1"/>
  <c r="C22" i="1"/>
  <c r="E22" i="1"/>
  <c r="A24" i="1"/>
  <c r="B23" i="1"/>
  <c r="A25" i="1" l="1"/>
  <c r="B24" i="1"/>
  <c r="E23" i="1"/>
  <c r="D23" i="1"/>
  <c r="C23" i="1"/>
  <c r="B25" i="1" l="1"/>
  <c r="A26" i="1"/>
  <c r="E24" i="1"/>
  <c r="C24" i="1"/>
  <c r="D24" i="1"/>
  <c r="C25" i="1" l="1"/>
  <c r="D25" i="1"/>
  <c r="E25" i="1"/>
  <c r="A27" i="1"/>
  <c r="B26" i="1"/>
  <c r="A28" i="1" l="1"/>
  <c r="B27" i="1"/>
  <c r="D26" i="1"/>
  <c r="C26" i="1"/>
  <c r="E26" i="1"/>
  <c r="B28" i="1" l="1"/>
  <c r="A29" i="1"/>
  <c r="D27" i="1"/>
  <c r="C27" i="1"/>
  <c r="E27" i="1"/>
  <c r="D28" i="1" l="1"/>
  <c r="C28" i="1"/>
  <c r="E28" i="1"/>
  <c r="B29" i="1"/>
  <c r="A30" i="1"/>
  <c r="D29" i="1" l="1"/>
  <c r="C29" i="1"/>
  <c r="E29" i="1"/>
  <c r="B30" i="1"/>
  <c r="A31" i="1"/>
  <c r="D30" i="1" l="1"/>
  <c r="C30" i="1"/>
  <c r="E30" i="1"/>
  <c r="B31" i="1"/>
  <c r="A32" i="1"/>
  <c r="D31" i="1" l="1"/>
  <c r="C31" i="1"/>
  <c r="E31" i="1"/>
  <c r="B32" i="1"/>
  <c r="A33" i="1"/>
  <c r="D32" i="1" l="1"/>
  <c r="C32" i="1"/>
  <c r="E32" i="1"/>
  <c r="A34" i="1"/>
  <c r="B33" i="1"/>
  <c r="B34" i="1" l="1"/>
  <c r="A35" i="1"/>
  <c r="C33" i="1"/>
  <c r="E33" i="1"/>
  <c r="D33" i="1"/>
  <c r="D34" i="1" l="1"/>
  <c r="C34" i="1"/>
  <c r="E34" i="1"/>
  <c r="B35" i="1"/>
  <c r="A36" i="1"/>
  <c r="D35" i="1" l="1"/>
  <c r="C35" i="1"/>
  <c r="E35" i="1"/>
  <c r="B36" i="1"/>
  <c r="A37" i="1"/>
  <c r="D36" i="1" l="1"/>
  <c r="C36" i="1"/>
  <c r="E36" i="1"/>
  <c r="B37" i="1"/>
  <c r="A38" i="1"/>
  <c r="D37" i="1" l="1"/>
  <c r="C37" i="1"/>
  <c r="E37" i="1"/>
  <c r="A39" i="1"/>
  <c r="B38" i="1"/>
  <c r="B39" i="1" l="1"/>
  <c r="A40" i="1"/>
  <c r="E38" i="1"/>
  <c r="C38" i="1"/>
  <c r="D38" i="1"/>
  <c r="D39" i="1" l="1"/>
  <c r="E39" i="1"/>
  <c r="C39" i="1"/>
  <c r="B40" i="1"/>
  <c r="A41" i="1"/>
  <c r="C40" i="1" l="1"/>
  <c r="D40" i="1"/>
  <c r="E40" i="1"/>
  <c r="B41" i="1"/>
  <c r="A42" i="1"/>
  <c r="C41" i="1" l="1"/>
  <c r="D41" i="1"/>
  <c r="E41" i="1"/>
  <c r="B42" i="1"/>
  <c r="A43" i="1"/>
  <c r="C42" i="1" l="1"/>
  <c r="D42" i="1"/>
  <c r="E42" i="1"/>
  <c r="B43" i="1"/>
  <c r="A44" i="1"/>
  <c r="C43" i="1" l="1"/>
  <c r="D43" i="1"/>
  <c r="E43" i="1"/>
  <c r="B44" i="1"/>
  <c r="A45" i="1"/>
  <c r="B45" i="1" s="1"/>
  <c r="C44" i="1" l="1"/>
  <c r="D44" i="1"/>
  <c r="E44" i="1"/>
  <c r="D45" i="1"/>
  <c r="C45" i="1"/>
  <c r="E45" i="1"/>
</calcChain>
</file>

<file path=xl/sharedStrings.xml><?xml version="1.0" encoding="utf-8"?>
<sst xmlns="http://schemas.openxmlformats.org/spreadsheetml/2006/main" count="699" uniqueCount="178">
  <si>
    <t xml:space="preserve"> Gamma_0</t>
  </si>
  <si>
    <t xml:space="preserve"> Gamma_0.5</t>
  </si>
  <si>
    <t xml:space="preserve"> Gamma_1</t>
  </si>
  <si>
    <t>Space type</t>
  </si>
  <si>
    <t>N, people / 100 m2</t>
  </si>
  <si>
    <t>Physical activity</t>
  </si>
  <si>
    <t>Exposure time (hr)</t>
  </si>
  <si>
    <t>Met Value</t>
  </si>
  <si>
    <t>Vp-tote</t>
  </si>
  <si>
    <t>Sedentary/Passive</t>
  </si>
  <si>
    <t>30</t>
  </si>
  <si>
    <t>light exercise</t>
  </si>
  <si>
    <t>Occupiable storage rooms for liquids and gels</t>
  </si>
  <si>
    <t>2</t>
  </si>
  <si>
    <t>Booking/waiting</t>
  </si>
  <si>
    <t>Mall common areas</t>
  </si>
  <si>
    <t>40</t>
  </si>
  <si>
    <t>Coffee stations</t>
  </si>
  <si>
    <t>20</t>
  </si>
  <si>
    <t>5</t>
  </si>
  <si>
    <t>Bars, cocktail lounges</t>
  </si>
  <si>
    <t>moderate exercise</t>
  </si>
  <si>
    <t>Cafeteria/fast-food dining</t>
  </si>
  <si>
    <t xml:space="preserve">Transportation waiting </t>
  </si>
  <si>
    <t>100</t>
  </si>
  <si>
    <t>Bowling Alley</t>
  </si>
  <si>
    <t>Health club (aerobic rooms)</t>
  </si>
  <si>
    <t>heavy exercise</t>
  </si>
  <si>
    <t>25</t>
  </si>
  <si>
    <t>Coin-operated laundries</t>
  </si>
  <si>
    <t>15</t>
  </si>
  <si>
    <t>Health club (weight rooms)</t>
  </si>
  <si>
    <t>Laundry rooms, central</t>
  </si>
  <si>
    <t>10</t>
  </si>
  <si>
    <t>Laundry rooms within dwelling units</t>
  </si>
  <si>
    <t>Pharmacy (prep. area)</t>
  </si>
  <si>
    <t>Photo studios</t>
  </si>
  <si>
    <t>Pet shops (animal areas)</t>
  </si>
  <si>
    <t>Supermarket</t>
  </si>
  <si>
    <t>8</t>
  </si>
  <si>
    <t>Gym, sports arena (play area)</t>
  </si>
  <si>
    <t>Shipping/receiving</t>
  </si>
  <si>
    <t>Spectator areas</t>
  </si>
  <si>
    <t>Multi-purpose assembly</t>
  </si>
  <si>
    <t>120</t>
  </si>
  <si>
    <t>Disco/Dance floors</t>
  </si>
  <si>
    <t>Stages, studios</t>
  </si>
  <si>
    <t>Conference/meeting</t>
  </si>
  <si>
    <t>50</t>
  </si>
  <si>
    <t>Beauty and nail salons</t>
  </si>
  <si>
    <t xml:space="preserve">Sorting, packing, light assembly </t>
  </si>
  <si>
    <t>7</t>
  </si>
  <si>
    <t>Computer (not printing)</t>
  </si>
  <si>
    <t>4</t>
  </si>
  <si>
    <t>Gambling Casinos</t>
  </si>
  <si>
    <t>Cell</t>
  </si>
  <si>
    <t>Sleep or Nap</t>
  </si>
  <si>
    <t>Game arcades</t>
  </si>
  <si>
    <t>Guard stations</t>
  </si>
  <si>
    <t>Sales (except as below)</t>
  </si>
  <si>
    <t>Barracks, sleeping areas</t>
  </si>
  <si>
    <t>Bedroom/living room</t>
  </si>
  <si>
    <t>office space</t>
  </si>
  <si>
    <t>no</t>
  </si>
  <si>
    <t>ASHRAE outdoor air rate (L/s.p)</t>
  </si>
  <si>
    <t>Met*Delta t</t>
  </si>
  <si>
    <t>Vp (m3/p)</t>
  </si>
  <si>
    <t>nd: ASHRAE physical clean air equivalent (ach)</t>
  </si>
  <si>
    <t>qe: effective clean flow rate (L/s.p)</t>
  </si>
  <si>
    <t>increase (%)</t>
  </si>
  <si>
    <t>iFt (h)</t>
  </si>
  <si>
    <t>Spaciousness factor</t>
  </si>
  <si>
    <t>Lobbies (public assembly spaces)</t>
  </si>
  <si>
    <t>Telephone/data entry</t>
  </si>
  <si>
    <t>Lobbies/prefunction</t>
  </si>
  <si>
    <t>Main entry lobbies (office buildings)</t>
  </si>
  <si>
    <t>Occupiable storage rooms for dry materials</t>
  </si>
  <si>
    <t>Animal surgery scrub</t>
  </si>
  <si>
    <t>Reception areas</t>
  </si>
  <si>
    <t>Bank vaults or safe deposit</t>
  </si>
  <si>
    <t>Animal exam room</t>
  </si>
  <si>
    <t>light/moderate</t>
  </si>
  <si>
    <t>Animal preparation rooms</t>
  </si>
  <si>
    <t>Animal procedure room</t>
  </si>
  <si>
    <t>Large-animal holding room</t>
  </si>
  <si>
    <t xml:space="preserve"> </t>
  </si>
  <si>
    <t>Lecture hall (fixed seats)</t>
  </si>
  <si>
    <t>Multi-use assembly</t>
  </si>
  <si>
    <t>Restaurant dining rooms</t>
  </si>
  <si>
    <t>Lecture classroom</t>
  </si>
  <si>
    <t>Break rooms (crowded)</t>
  </si>
  <si>
    <t>Classroom (age 9 plus)</t>
  </si>
  <si>
    <t>Music/theater/dance</t>
  </si>
  <si>
    <t>Classroom (ages 5-8)</t>
  </si>
  <si>
    <t>Computer lab</t>
  </si>
  <si>
    <t>Daycare (through age 4)</t>
  </si>
  <si>
    <t>Media center</t>
  </si>
  <si>
    <t>Science laboratories</t>
  </si>
  <si>
    <t>University/college laboratories</t>
  </si>
  <si>
    <t>Break rooms (spacious)</t>
  </si>
  <si>
    <t>Art classroom</t>
  </si>
  <si>
    <t>Wood/metal shop</t>
  </si>
  <si>
    <t>Kitchen (cooking)</t>
  </si>
  <si>
    <t>Banks or bank lobbies</t>
  </si>
  <si>
    <t>Libraries (public assembly spaces)</t>
  </si>
  <si>
    <t>Animal imaging (MRI/CT/PET)</t>
  </si>
  <si>
    <t>Animal necropsy</t>
  </si>
  <si>
    <t>moderate/vigorous</t>
  </si>
  <si>
    <t>Animal postoperative recovery room</t>
  </si>
  <si>
    <t>Small-animal-cage room (static cages)</t>
  </si>
  <si>
    <t>Small-animal-cage room (ventilated cages)</t>
  </si>
  <si>
    <t>Auditorium seating area</t>
  </si>
  <si>
    <t>Places of religious worship</t>
  </si>
  <si>
    <t>Courtrooms</t>
  </si>
  <si>
    <t>Museums (children's)</t>
  </si>
  <si>
    <t>Museums (galleries)</t>
  </si>
  <si>
    <t>Dayroom</t>
  </si>
  <si>
    <t>Daycare sickroom</t>
  </si>
  <si>
    <t>Barbershop</t>
  </si>
  <si>
    <t>Animal operating rooms</t>
  </si>
  <si>
    <t>Legislative chambers</t>
  </si>
  <si>
    <t>Libraries (educational facilities)</t>
  </si>
  <si>
    <t>Manufacturing (excludes heavy industrial and process using chemicals )</t>
  </si>
  <si>
    <t>Manufacturing where hazardous materials are not used</t>
  </si>
  <si>
    <t>qc-tote</t>
  </si>
  <si>
    <t>qc: ASHRAE physical clean air equivalent (L/s.p)</t>
  </si>
  <si>
    <t>Occupancy category</t>
  </si>
  <si>
    <t>ASHRAE ECAi (L/s.p)</t>
  </si>
  <si>
    <t>spaciousness factor</t>
  </si>
  <si>
    <t>Audotorium</t>
  </si>
  <si>
    <t>Cafeteria</t>
  </si>
  <si>
    <t>Call center</t>
  </si>
  <si>
    <t>Convention</t>
  </si>
  <si>
    <t>corectional cell</t>
  </si>
  <si>
    <t>correctional dayroom</t>
  </si>
  <si>
    <t>Daycare</t>
  </si>
  <si>
    <t>Elementary School</t>
  </si>
  <si>
    <t>Gym</t>
  </si>
  <si>
    <t>Health care exam room</t>
  </si>
  <si>
    <t>Health care group treament area</t>
  </si>
  <si>
    <t>Health care patient room</t>
  </si>
  <si>
    <t>Health care resident room</t>
  </si>
  <si>
    <t>Health care waiting room</t>
  </si>
  <si>
    <t>High school</t>
  </si>
  <si>
    <t>Lecture hall</t>
  </si>
  <si>
    <t>Lobbies</t>
  </si>
  <si>
    <t>Manufacturing</t>
  </si>
  <si>
    <t>Museum</t>
  </si>
  <si>
    <t>Office</t>
  </si>
  <si>
    <t>Place of religious workship</t>
  </si>
  <si>
    <t>Residential common space</t>
  </si>
  <si>
    <t>Residential dwelling unit</t>
  </si>
  <si>
    <t>Restaurant</t>
  </si>
  <si>
    <t>Retail</t>
  </si>
  <si>
    <t>Sorting, packagin, light assembly</t>
  </si>
  <si>
    <t>Spectator area</t>
  </si>
  <si>
    <t>Transportation waiting</t>
  </si>
  <si>
    <t>Warehouse</t>
  </si>
  <si>
    <t>qe (iFt = 0.02 hr)</t>
  </si>
  <si>
    <t>qc (iFt &lt;= 0.02 hr)</t>
  </si>
  <si>
    <t>Vp (iFt &lt;=0.02)</t>
  </si>
  <si>
    <t>Vp_solver</t>
  </si>
  <si>
    <t>nc: ASHRAE physical clean air equivalent (ach)</t>
  </si>
  <si>
    <t>Vp-tote (new)</t>
  </si>
  <si>
    <t>qc_Vp_new (iFt &lt;= 0.02 hr)</t>
  </si>
  <si>
    <r>
      <t>n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</si>
  <si>
    <t>CT</t>
  </si>
  <si>
    <r>
      <t>Spaciousness dilution factor (</t>
    </r>
    <r>
      <rPr>
        <sz val="11"/>
        <color theme="1"/>
        <rFont val="Aptos Narrow"/>
        <family val="2"/>
      </rPr>
      <t>γ</t>
    </r>
    <r>
      <rPr>
        <sz val="11"/>
        <color theme="1"/>
        <rFont val="Calibri"/>
        <family val="2"/>
        <scheme val="minor"/>
      </rPr>
      <t xml:space="preserve">) for </t>
    </r>
    <r>
      <rPr>
        <sz val="11"/>
        <color theme="1"/>
        <rFont val="GreekC"/>
      </rPr>
      <t>Δ</t>
    </r>
    <r>
      <rPr>
        <sz val="11"/>
        <color theme="1"/>
        <rFont val="Calibri"/>
        <family val="2"/>
      </rPr>
      <t>t0 = 0, 0.5 and 1 hours</t>
    </r>
  </si>
  <si>
    <t>Inhalation flow rate (L/s):</t>
  </si>
  <si>
    <t>Table 1: Estimated main metrics for ASHRAE 62.1 for 84 space categories.</t>
  </si>
  <si>
    <r>
      <t>deposition and inactivation rate (h</t>
    </r>
    <r>
      <rPr>
        <b/>
        <vertAlign val="superscript"/>
        <sz val="12"/>
        <color theme="1"/>
        <rFont val="Calibri (Body)"/>
      </rPr>
      <t>-1</t>
    </r>
    <r>
      <rPr>
        <b/>
        <sz val="12"/>
        <color theme="1"/>
        <rFont val="Calibri"/>
        <family val="2"/>
        <scheme val="minor"/>
      </rPr>
      <t>):</t>
    </r>
  </si>
  <si>
    <t>Inhalation rate (P), L/s</t>
  </si>
  <si>
    <t>qa = qe-qc</t>
  </si>
  <si>
    <t>occupant density (persons/100 m2)</t>
  </si>
  <si>
    <t>Table S2: Estimated main metrics for ASHRAE 241 for 29 occupancy categories</t>
  </si>
  <si>
    <r>
      <t>deposition and inactivation rate (h</t>
    </r>
    <r>
      <rPr>
        <b/>
        <vertAlign val="superscript"/>
        <sz val="11"/>
        <color theme="1"/>
        <rFont val="Calibri (Body)"/>
      </rPr>
      <t>-1</t>
    </r>
    <r>
      <rPr>
        <b/>
        <sz val="11"/>
        <color theme="1"/>
        <rFont val="Calibri"/>
        <family val="2"/>
        <scheme val="minor"/>
      </rPr>
      <t>):</t>
    </r>
  </si>
  <si>
    <t>Table 1: The minimum clean air equivalent for 84 space categories in ASHRAE 62.1, and the corresponding new derived flow rates based on a threshold intake fraction time of 0.02 hr. Occupant density and exposure times remain unchanged.</t>
  </si>
  <si>
    <t>Table 1: The minimum clean air equivalent for 29 space categories in ASHRAE 241, and the corresponding new derived flow rates based on a threshold intake fraction time of 0.02 hr. Occupant density and exposure times remain unchanged.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</si>
</sst>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sz val="11"/>
      <color theme="5" tint="-0.249977111117893"/>
      <name val="Calibri"/>
      <family val="2"/>
      <charset val="134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sz val="11"/>
      <color theme="1"/>
      <name val="Aptos Narrow"/>
      <family val="2"/>
    </font>
    <font>
      <sz val="11"/>
      <color theme="1"/>
      <name val="GreekC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b/>
      <vertAlign val="superscript"/>
      <sz val="12"/>
      <color theme="1"/>
      <name val="Calibri (Body)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5" tint="-0.249977111117893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 (Body)"/>
    </font>
    <font>
      <sz val="12"/>
      <color rgb="FFFF0000"/>
      <name val="Calibri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23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1">
      <alignment vertical="center"/>
    </xf>
    <xf numFmtId="2" fontId="1" fillId="0" borderId="0" xfId="1" applyNumberFormat="1">
      <alignment vertical="center"/>
    </xf>
    <xf numFmtId="0" fontId="1" fillId="0" borderId="0" xfId="1" applyAlignment="1">
      <alignment vertical="center" wrapText="1"/>
    </xf>
    <xf numFmtId="0" fontId="2" fillId="0" borderId="0" xfId="1" applyFo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9" fillId="0" borderId="2" xfId="1" applyFont="1" applyBorder="1">
      <alignment vertical="center"/>
    </xf>
    <xf numFmtId="0" fontId="9" fillId="0" borderId="5" xfId="1" applyFont="1" applyBorder="1">
      <alignment vertical="center"/>
    </xf>
    <xf numFmtId="0" fontId="9" fillId="0" borderId="10" xfId="1" applyFont="1" applyBorder="1">
      <alignment vertical="center"/>
    </xf>
    <xf numFmtId="0" fontId="9" fillId="0" borderId="6" xfId="1" applyFont="1" applyBorder="1">
      <alignment vertical="center"/>
    </xf>
    <xf numFmtId="0" fontId="9" fillId="0" borderId="6" xfId="1" applyFont="1" applyBorder="1" applyAlignment="1">
      <alignment horizontal="left" vertical="center"/>
    </xf>
    <xf numFmtId="1" fontId="9" fillId="0" borderId="0" xfId="1" applyNumberFormat="1" applyFont="1" applyAlignment="1">
      <alignment horizontal="center" vertical="center"/>
    </xf>
    <xf numFmtId="164" fontId="9" fillId="0" borderId="0" xfId="1" applyNumberFormat="1" applyFont="1">
      <alignment vertical="center"/>
    </xf>
    <xf numFmtId="165" fontId="9" fillId="0" borderId="0" xfId="1" applyNumberFormat="1" applyFont="1">
      <alignment vertical="center"/>
    </xf>
    <xf numFmtId="2" fontId="9" fillId="0" borderId="0" xfId="1" applyNumberFormat="1" applyFont="1">
      <alignment vertical="center"/>
    </xf>
    <xf numFmtId="0" fontId="9" fillId="0" borderId="0" xfId="1" applyFont="1" applyAlignment="1">
      <alignment horizontal="center" vertical="center"/>
    </xf>
    <xf numFmtId="0" fontId="11" fillId="0" borderId="6" xfId="0" applyFont="1" applyBorder="1"/>
    <xf numFmtId="0" fontId="11" fillId="0" borderId="0" xfId="1" applyFont="1" applyAlignment="1">
      <alignment horizontal="center" vertical="center"/>
    </xf>
    <xf numFmtId="0" fontId="11" fillId="0" borderId="0" xfId="1" applyFont="1">
      <alignment vertical="center"/>
    </xf>
    <xf numFmtId="164" fontId="11" fillId="0" borderId="0" xfId="1" applyNumberFormat="1" applyFont="1">
      <alignment vertical="center"/>
    </xf>
    <xf numFmtId="164" fontId="9" fillId="0" borderId="6" xfId="1" applyNumberFormat="1" applyFont="1" applyBorder="1">
      <alignment vertical="center"/>
    </xf>
    <xf numFmtId="0" fontId="9" fillId="0" borderId="11" xfId="1" applyFont="1" applyBorder="1">
      <alignment vertical="center"/>
    </xf>
    <xf numFmtId="0" fontId="9" fillId="0" borderId="7" xfId="1" applyFont="1" applyBorder="1">
      <alignment vertical="center"/>
    </xf>
    <xf numFmtId="0" fontId="9" fillId="0" borderId="1" xfId="1" applyFont="1" applyBorder="1">
      <alignment vertical="center"/>
    </xf>
    <xf numFmtId="0" fontId="1" fillId="0" borderId="2" xfId="1" applyBorder="1" applyAlignment="1">
      <alignment vertical="center" wrapText="1"/>
    </xf>
    <xf numFmtId="165" fontId="9" fillId="0" borderId="1" xfId="1" applyNumberFormat="1" applyFont="1" applyBorder="1">
      <alignment vertical="center"/>
    </xf>
    <xf numFmtId="0" fontId="9" fillId="0" borderId="0" xfId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65" fontId="9" fillId="0" borderId="0" xfId="1" applyNumberFormat="1" applyFont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vertical="center" wrapText="1"/>
    </xf>
    <xf numFmtId="0" fontId="13" fillId="0" borderId="0" xfId="1" applyFont="1">
      <alignment vertical="center"/>
    </xf>
    <xf numFmtId="0" fontId="0" fillId="0" borderId="4" xfId="0" applyBorder="1" applyAlignment="1">
      <alignment horizontal="center"/>
    </xf>
    <xf numFmtId="0" fontId="8" fillId="4" borderId="3" xfId="1" applyFont="1" applyFill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" fillId="0" borderId="0" xfId="1" applyFill="1">
      <alignment vertical="center"/>
    </xf>
    <xf numFmtId="2" fontId="1" fillId="0" borderId="0" xfId="1" applyNumberFormat="1" applyFill="1">
      <alignment vertical="center"/>
    </xf>
    <xf numFmtId="0" fontId="12" fillId="0" borderId="0" xfId="1" applyFont="1" applyFill="1">
      <alignment vertical="center"/>
    </xf>
    <xf numFmtId="0" fontId="12" fillId="0" borderId="0" xfId="1" applyFont="1">
      <alignment vertical="center"/>
    </xf>
    <xf numFmtId="1" fontId="12" fillId="0" borderId="0" xfId="1" applyNumberFormat="1" applyFont="1" applyFill="1" applyAlignment="1">
      <alignment horizontal="center" vertical="center"/>
    </xf>
    <xf numFmtId="164" fontId="12" fillId="0" borderId="0" xfId="1" applyNumberFormat="1" applyFont="1" applyFill="1">
      <alignment vertical="center"/>
    </xf>
    <xf numFmtId="0" fontId="12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>
      <alignment vertical="center"/>
    </xf>
    <xf numFmtId="164" fontId="12" fillId="0" borderId="0" xfId="1" applyNumberFormat="1" applyFont="1" applyFill="1" applyAlignment="1">
      <alignment horizontal="center" vertical="center"/>
    </xf>
    <xf numFmtId="165" fontId="12" fillId="0" borderId="0" xfId="1" applyNumberFormat="1" applyFont="1" applyFill="1" applyAlignment="1">
      <alignment horizontal="center" vertical="center"/>
    </xf>
    <xf numFmtId="2" fontId="12" fillId="0" borderId="0" xfId="1" applyNumberFormat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5" borderId="0" xfId="1" applyFont="1" applyFill="1" applyAlignment="1">
      <alignment horizontal="center" vertical="center"/>
    </xf>
    <xf numFmtId="165" fontId="12" fillId="5" borderId="0" xfId="1" applyNumberFormat="1" applyFont="1" applyFill="1" applyAlignment="1">
      <alignment horizontal="center" vertical="center"/>
    </xf>
    <xf numFmtId="164" fontId="11" fillId="0" borderId="0" xfId="1" applyNumberFormat="1" applyFont="1" applyFill="1" applyAlignment="1">
      <alignment horizontal="center" vertical="center"/>
    </xf>
    <xf numFmtId="165" fontId="12" fillId="0" borderId="0" xfId="1" applyNumberFormat="1" applyFont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>
      <alignment vertical="center"/>
    </xf>
    <xf numFmtId="0" fontId="11" fillId="0" borderId="8" xfId="0" applyFont="1" applyFill="1" applyBorder="1"/>
    <xf numFmtId="164" fontId="12" fillId="0" borderId="8" xfId="1" applyNumberFormat="1" applyFont="1" applyFill="1" applyBorder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>
      <alignment vertical="center"/>
    </xf>
    <xf numFmtId="164" fontId="12" fillId="0" borderId="0" xfId="1" applyNumberFormat="1" applyFont="1" applyFill="1" applyBorder="1" applyAlignment="1">
      <alignment horizontal="center" vertical="center"/>
    </xf>
    <xf numFmtId="165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65" fontId="12" fillId="0" borderId="0" xfId="1" applyNumberFormat="1" applyFont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9" xfId="1" applyFont="1" applyFill="1" applyBorder="1">
      <alignment vertical="center"/>
    </xf>
    <xf numFmtId="1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>
      <alignment vertical="center"/>
    </xf>
    <xf numFmtId="0" fontId="12" fillId="0" borderId="1" xfId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0" fontId="12" fillId="0" borderId="5" xfId="1" applyFont="1" applyFill="1" applyBorder="1">
      <alignment vertical="center"/>
    </xf>
    <xf numFmtId="0" fontId="12" fillId="0" borderId="12" xfId="1" applyFont="1" applyFill="1" applyBorder="1">
      <alignment vertical="center"/>
    </xf>
    <xf numFmtId="0" fontId="12" fillId="0" borderId="2" xfId="1" applyFont="1" applyFill="1" applyBorder="1">
      <alignment vertical="center"/>
    </xf>
    <xf numFmtId="0" fontId="12" fillId="0" borderId="2" xfId="1" applyFont="1" applyBorder="1">
      <alignment vertical="center"/>
    </xf>
    <xf numFmtId="0" fontId="14" fillId="4" borderId="3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left" vertical="top"/>
    </xf>
    <xf numFmtId="0" fontId="12" fillId="0" borderId="2" xfId="1" applyFont="1" applyFill="1" applyBorder="1" applyAlignment="1">
      <alignment vertical="center" wrapText="1"/>
    </xf>
    <xf numFmtId="0" fontId="14" fillId="0" borderId="0" xfId="1" applyFont="1" applyFill="1" applyAlignment="1">
      <alignment horizontal="left" vertical="center"/>
    </xf>
    <xf numFmtId="0" fontId="3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9" fillId="0" borderId="0" xfId="1" applyFont="1" applyAlignment="1">
      <alignment vertical="center" wrapText="1"/>
    </xf>
    <xf numFmtId="0" fontId="16" fillId="0" borderId="0" xfId="1" applyFont="1">
      <alignment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/>
    </xf>
    <xf numFmtId="165" fontId="9" fillId="0" borderId="0" xfId="1" applyNumberFormat="1" applyFont="1" applyFill="1" applyAlignment="1">
      <alignment horizontal="center" vertical="center"/>
    </xf>
    <xf numFmtId="165" fontId="9" fillId="5" borderId="0" xfId="1" applyNumberFormat="1" applyFont="1" applyFill="1" applyAlignment="1">
      <alignment horizontal="center" vertical="center"/>
    </xf>
    <xf numFmtId="0" fontId="9" fillId="5" borderId="0" xfId="1" applyFont="1" applyFill="1" applyAlignment="1">
      <alignment horizontal="center" vertical="center"/>
    </xf>
    <xf numFmtId="0" fontId="9" fillId="0" borderId="7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630F75CC-21D5-45D2-B62A-91693A187879}"/>
  </cellStyles>
  <dxfs count="0"/>
  <tableStyles count="0" defaultTableStyle="TableStyleMedium2" defaultPivotStyle="PivotStyleLight16"/>
  <colors>
    <mruColors>
      <color rgb="FF00CD6C"/>
      <color rgb="FF843C0C"/>
      <color rgb="FFEF1F5B"/>
      <color rgb="FF009ADE"/>
      <color rgb="FFAF58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105318347508536"/>
          <c:y val="0.11623613346674207"/>
          <c:w val="0.74282651820718837"/>
          <c:h val="0.62425425878599472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S1. Ct &amp; y'!$B$2</c:f>
              <c:strCache>
                <c:ptCount val="1"/>
                <c:pt idx="0">
                  <c:v>CT</c:v>
                </c:pt>
              </c:strCache>
            </c:strRef>
          </c:tx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 S1. Ct &amp; y'!$A$3:$A$45</c:f>
              <c:numCache>
                <c:formatCode>General</c:formatCode>
                <c:ptCount val="43"/>
                <c:pt idx="0">
                  <c:v>1E-4</c:v>
                </c:pt>
                <c:pt idx="1">
                  <c:v>1.5000000000000001E-4</c:v>
                </c:pt>
                <c:pt idx="2">
                  <c:v>2.2500000000000002E-4</c:v>
                </c:pt>
                <c:pt idx="3">
                  <c:v>3.3750000000000002E-4</c:v>
                </c:pt>
                <c:pt idx="4">
                  <c:v>5.0624999999999997E-4</c:v>
                </c:pt>
                <c:pt idx="5">
                  <c:v>7.5937499999999996E-4</c:v>
                </c:pt>
                <c:pt idx="6">
                  <c:v>1.1390624999999999E-3</c:v>
                </c:pt>
                <c:pt idx="7">
                  <c:v>1.7085937499999998E-3</c:v>
                </c:pt>
                <c:pt idx="8">
                  <c:v>2.5628906249999996E-3</c:v>
                </c:pt>
                <c:pt idx="9">
                  <c:v>3.8443359374999994E-3</c:v>
                </c:pt>
                <c:pt idx="10">
                  <c:v>5.7665039062499996E-3</c:v>
                </c:pt>
                <c:pt idx="11">
                  <c:v>8.6497558593750003E-3</c:v>
                </c:pt>
                <c:pt idx="12">
                  <c:v>1.29746337890625E-2</c:v>
                </c:pt>
                <c:pt idx="13">
                  <c:v>1.946195068359375E-2</c:v>
                </c:pt>
                <c:pt idx="14">
                  <c:v>2.9192926025390625E-2</c:v>
                </c:pt>
                <c:pt idx="15">
                  <c:v>4.3789389038085935E-2</c:v>
                </c:pt>
                <c:pt idx="16">
                  <c:v>6.5684083557128903E-2</c:v>
                </c:pt>
                <c:pt idx="17">
                  <c:v>9.8526125335693354E-2</c:v>
                </c:pt>
                <c:pt idx="18">
                  <c:v>0.14778918800354002</c:v>
                </c:pt>
                <c:pt idx="19">
                  <c:v>0.22168378200531003</c:v>
                </c:pt>
                <c:pt idx="20">
                  <c:v>0.33252567300796504</c:v>
                </c:pt>
                <c:pt idx="21">
                  <c:v>0.49878850951194753</c:v>
                </c:pt>
                <c:pt idx="22">
                  <c:v>0.7481827642679213</c:v>
                </c:pt>
                <c:pt idx="23">
                  <c:v>1.1222741464018819</c:v>
                </c:pt>
                <c:pt idx="24">
                  <c:v>1.683411219602823</c:v>
                </c:pt>
                <c:pt idx="25">
                  <c:v>2.5251168294042348</c:v>
                </c:pt>
                <c:pt idx="26">
                  <c:v>3.7876752441063521</c:v>
                </c:pt>
                <c:pt idx="27">
                  <c:v>5.6815128661595278</c:v>
                </c:pt>
                <c:pt idx="28">
                  <c:v>8.5222692992392908</c:v>
                </c:pt>
                <c:pt idx="29">
                  <c:v>12.783403948858936</c:v>
                </c:pt>
                <c:pt idx="30">
                  <c:v>19.175105923288406</c:v>
                </c:pt>
                <c:pt idx="31">
                  <c:v>28.762658884932609</c:v>
                </c:pt>
                <c:pt idx="32">
                  <c:v>43.143988327398915</c:v>
                </c:pt>
                <c:pt idx="33">
                  <c:v>64.715982491098373</c:v>
                </c:pt>
                <c:pt idx="34">
                  <c:v>97.073973736647559</c:v>
                </c:pt>
                <c:pt idx="35">
                  <c:v>145.61096060497135</c:v>
                </c:pt>
                <c:pt idx="36">
                  <c:v>218.41644090745703</c:v>
                </c:pt>
                <c:pt idx="37">
                  <c:v>327.62466136118553</c:v>
                </c:pt>
                <c:pt idx="38">
                  <c:v>491.4369920417783</c:v>
                </c:pt>
                <c:pt idx="39">
                  <c:v>737.15548806266747</c:v>
                </c:pt>
                <c:pt idx="40">
                  <c:v>1105.7332320940013</c:v>
                </c:pt>
                <c:pt idx="41">
                  <c:v>1658.599848141002</c:v>
                </c:pt>
                <c:pt idx="42">
                  <c:v>2487.8997722115027</c:v>
                </c:pt>
              </c:numCache>
            </c:numRef>
          </c:xVal>
          <c:yVal>
            <c:numRef>
              <c:f>'Fig S1. Ct &amp; y'!$B$3:$B$45</c:f>
              <c:numCache>
                <c:formatCode>General</c:formatCode>
                <c:ptCount val="43"/>
                <c:pt idx="0">
                  <c:v>0.9999500016666385</c:v>
                </c:pt>
                <c:pt idx="1">
                  <c:v>0.99992500374993876</c:v>
                </c:pt>
                <c:pt idx="2">
                  <c:v>0.99988750843691154</c:v>
                </c:pt>
                <c:pt idx="3">
                  <c:v>0.99983126898266572</c:v>
                </c:pt>
                <c:pt idx="4">
                  <c:v>0.99974691770948421</c:v>
                </c:pt>
                <c:pt idx="5">
                  <c:v>0.99962040859014478</c:v>
                </c:pt>
                <c:pt idx="6">
                  <c:v>0.99943068493232123</c:v>
                </c:pt>
                <c:pt idx="7">
                  <c:v>0.99914618946598965</c:v>
                </c:pt>
                <c:pt idx="8">
                  <c:v>0.99871964872116559</c:v>
                </c:pt>
                <c:pt idx="9">
                  <c:v>0.99808029281889998</c:v>
                </c:pt>
                <c:pt idx="10">
                  <c:v>0.99712228216100651</c:v>
                </c:pt>
                <c:pt idx="11">
                  <c:v>0.99568756486463683</c:v>
                </c:pt>
                <c:pt idx="12">
                  <c:v>0.99354064918792229</c:v>
                </c:pt>
                <c:pt idx="13">
                  <c:v>0.99033184662248908</c:v>
                </c:pt>
                <c:pt idx="14">
                  <c:v>0.9855445442071501</c:v>
                </c:pt>
                <c:pt idx="15">
                  <c:v>0.9784214223887846</c:v>
                </c:pt>
                <c:pt idx="16">
                  <c:v>0.96786537032266196</c:v>
                </c:pt>
                <c:pt idx="17">
                  <c:v>0.95231575811456015</c:v>
                </c:pt>
                <c:pt idx="18">
                  <c:v>0.92961506131433169</c:v>
                </c:pt>
                <c:pt idx="19">
                  <c:v>0.89691419899466229</c:v>
                </c:pt>
                <c:pt idx="20">
                  <c:v>0.85073052913703018</c:v>
                </c:pt>
                <c:pt idx="21">
                  <c:v>0.78737597476248289</c:v>
                </c:pt>
                <c:pt idx="22">
                  <c:v>0.70407163945381934</c:v>
                </c:pt>
                <c:pt idx="23">
                  <c:v>0.60097737480817581</c:v>
                </c:pt>
                <c:pt idx="24">
                  <c:v>0.48369684953289044</c:v>
                </c:pt>
                <c:pt idx="25">
                  <c:v>0.36432018872131733</c:v>
                </c:pt>
                <c:pt idx="26">
                  <c:v>0.25803474289536182</c:v>
                </c:pt>
                <c:pt idx="27">
                  <c:v>0.17540954766557926</c:v>
                </c:pt>
                <c:pt idx="28">
                  <c:v>0.11731628954021382</c:v>
                </c:pt>
                <c:pt idx="29">
                  <c:v>7.82262061832487E-2</c:v>
                </c:pt>
                <c:pt idx="30">
                  <c:v>5.2150950263209699E-2</c:v>
                </c:pt>
                <c:pt idx="31">
                  <c:v>3.4767300338965877E-2</c:v>
                </c:pt>
                <c:pt idx="32">
                  <c:v>2.3178200225984727E-2</c:v>
                </c:pt>
                <c:pt idx="33">
                  <c:v>1.5452133483989819E-2</c:v>
                </c:pt>
                <c:pt idx="34">
                  <c:v>1.0301422322659879E-2</c:v>
                </c:pt>
                <c:pt idx="35">
                  <c:v>6.8676148817732518E-3</c:v>
                </c:pt>
                <c:pt idx="36">
                  <c:v>4.5784099211821682E-3</c:v>
                </c:pt>
                <c:pt idx="37">
                  <c:v>3.0522732807881123E-3</c:v>
                </c:pt>
                <c:pt idx="38">
                  <c:v>2.0348488538587412E-3</c:v>
                </c:pt>
                <c:pt idx="39">
                  <c:v>1.3565659025724943E-3</c:v>
                </c:pt>
                <c:pt idx="40">
                  <c:v>9.0437726838166275E-4</c:v>
                </c:pt>
                <c:pt idx="41">
                  <c:v>6.0291817892110854E-4</c:v>
                </c:pt>
                <c:pt idx="42">
                  <c:v>4.0194545261407238E-4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AC-4FE0-9C72-F44B20DD5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430191"/>
        <c:axId val="798431855"/>
      </c:scatterChart>
      <c:scatterChart>
        <c:scatterStyle val="lineMarker"/>
        <c:varyColors val="0"/>
        <c:ser>
          <c:idx val="1"/>
          <c:order val="1"/>
          <c:tx>
            <c:strRef>
              <c:f>'Fig S1. Ct &amp; y'!$C$2</c:f>
              <c:strCache>
                <c:ptCount val="1"/>
                <c:pt idx="0">
                  <c:v> Gamma_0</c:v>
                </c:pt>
              </c:strCache>
            </c:strRef>
          </c:tx>
          <c:spPr>
            <a:ln w="3492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 S1. Ct &amp; y'!$A$3:$A$45</c:f>
              <c:numCache>
                <c:formatCode>General</c:formatCode>
                <c:ptCount val="43"/>
                <c:pt idx="0">
                  <c:v>1E-4</c:v>
                </c:pt>
                <c:pt idx="1">
                  <c:v>1.5000000000000001E-4</c:v>
                </c:pt>
                <c:pt idx="2">
                  <c:v>2.2500000000000002E-4</c:v>
                </c:pt>
                <c:pt idx="3">
                  <c:v>3.3750000000000002E-4</c:v>
                </c:pt>
                <c:pt idx="4">
                  <c:v>5.0624999999999997E-4</c:v>
                </c:pt>
                <c:pt idx="5">
                  <c:v>7.5937499999999996E-4</c:v>
                </c:pt>
                <c:pt idx="6">
                  <c:v>1.1390624999999999E-3</c:v>
                </c:pt>
                <c:pt idx="7">
                  <c:v>1.7085937499999998E-3</c:v>
                </c:pt>
                <c:pt idx="8">
                  <c:v>2.5628906249999996E-3</c:v>
                </c:pt>
                <c:pt idx="9">
                  <c:v>3.8443359374999994E-3</c:v>
                </c:pt>
                <c:pt idx="10">
                  <c:v>5.7665039062499996E-3</c:v>
                </c:pt>
                <c:pt idx="11">
                  <c:v>8.6497558593750003E-3</c:v>
                </c:pt>
                <c:pt idx="12">
                  <c:v>1.29746337890625E-2</c:v>
                </c:pt>
                <c:pt idx="13">
                  <c:v>1.946195068359375E-2</c:v>
                </c:pt>
                <c:pt idx="14">
                  <c:v>2.9192926025390625E-2</c:v>
                </c:pt>
                <c:pt idx="15">
                  <c:v>4.3789389038085935E-2</c:v>
                </c:pt>
                <c:pt idx="16">
                  <c:v>6.5684083557128903E-2</c:v>
                </c:pt>
                <c:pt idx="17">
                  <c:v>9.8526125335693354E-2</c:v>
                </c:pt>
                <c:pt idx="18">
                  <c:v>0.14778918800354002</c:v>
                </c:pt>
                <c:pt idx="19">
                  <c:v>0.22168378200531003</c:v>
                </c:pt>
                <c:pt idx="20">
                  <c:v>0.33252567300796504</c:v>
                </c:pt>
                <c:pt idx="21">
                  <c:v>0.49878850951194753</c:v>
                </c:pt>
                <c:pt idx="22">
                  <c:v>0.7481827642679213</c:v>
                </c:pt>
                <c:pt idx="23">
                  <c:v>1.1222741464018819</c:v>
                </c:pt>
                <c:pt idx="24">
                  <c:v>1.683411219602823</c:v>
                </c:pt>
                <c:pt idx="25">
                  <c:v>2.5251168294042348</c:v>
                </c:pt>
                <c:pt idx="26">
                  <c:v>3.7876752441063521</c:v>
                </c:pt>
                <c:pt idx="27">
                  <c:v>5.6815128661595278</c:v>
                </c:pt>
                <c:pt idx="28">
                  <c:v>8.5222692992392908</c:v>
                </c:pt>
                <c:pt idx="29">
                  <c:v>12.783403948858936</c:v>
                </c:pt>
                <c:pt idx="30">
                  <c:v>19.175105923288406</c:v>
                </c:pt>
                <c:pt idx="31">
                  <c:v>28.762658884932609</c:v>
                </c:pt>
                <c:pt idx="32">
                  <c:v>43.143988327398915</c:v>
                </c:pt>
                <c:pt idx="33">
                  <c:v>64.715982491098373</c:v>
                </c:pt>
                <c:pt idx="34">
                  <c:v>97.073973736647559</c:v>
                </c:pt>
                <c:pt idx="35">
                  <c:v>145.61096060497135</c:v>
                </c:pt>
                <c:pt idx="36">
                  <c:v>218.41644090745703</c:v>
                </c:pt>
                <c:pt idx="37">
                  <c:v>327.62466136118553</c:v>
                </c:pt>
                <c:pt idx="38">
                  <c:v>491.4369920417783</c:v>
                </c:pt>
                <c:pt idx="39">
                  <c:v>737.15548806266747</c:v>
                </c:pt>
                <c:pt idx="40">
                  <c:v>1105.7332320940013</c:v>
                </c:pt>
                <c:pt idx="41">
                  <c:v>1658.599848141002</c:v>
                </c:pt>
                <c:pt idx="42">
                  <c:v>2487.8997722115027</c:v>
                </c:pt>
              </c:numCache>
            </c:numRef>
          </c:xVal>
          <c:yVal>
            <c:numRef>
              <c:f>'Fig S1. Ct &amp; y'!$C$3:$C$45</c:f>
              <c:numCache>
                <c:formatCode>General</c:formatCode>
                <c:ptCount val="43"/>
                <c:pt idx="0">
                  <c:v>19999.666677621968</c:v>
                </c:pt>
                <c:pt idx="1">
                  <c:v>13333.000022446207</c:v>
                </c:pt>
                <c:pt idx="2">
                  <c:v>8888.5555590569566</c:v>
                </c:pt>
                <c:pt idx="3">
                  <c:v>5925.5926075634889</c:v>
                </c:pt>
                <c:pt idx="4">
                  <c:v>3950.2839794596166</c:v>
                </c:pt>
                <c:pt idx="5">
                  <c:v>2633.411564743828</c:v>
                </c:pt>
                <c:pt idx="6">
                  <c:v>1755.496633888928</c:v>
                </c:pt>
                <c:pt idx="7">
                  <c:v>1170.2200308691461</c:v>
                </c:pt>
                <c:pt idx="8">
                  <c:v>780.03565523858822</c:v>
                </c:pt>
                <c:pt idx="9">
                  <c:v>519.91277765965708</c:v>
                </c:pt>
                <c:pt idx="10">
                  <c:v>346.49758522182304</c:v>
                </c:pt>
                <c:pt idx="11">
                  <c:v>230.88754580903066</c:v>
                </c:pt>
                <c:pt idx="12">
                  <c:v>153.81431944061578</c:v>
                </c:pt>
                <c:pt idx="13">
                  <c:v>102.43236820446998</c:v>
                </c:pt>
                <c:pt idx="14">
                  <c:v>68.178033147500585</c:v>
                </c:pt>
                <c:pt idx="15">
                  <c:v>45.342257493387933</c:v>
                </c:pt>
                <c:pt idx="16">
                  <c:v>30.119076524016055</c:v>
                </c:pt>
                <c:pt idx="17">
                  <c:v>19.971288636662695</c:v>
                </c:pt>
                <c:pt idx="18">
                  <c:v>13.207585012837679</c:v>
                </c:pt>
                <c:pt idx="19">
                  <c:v>8.7006570279084379</c:v>
                </c:pt>
                <c:pt idx="20">
                  <c:v>5.6992935274621921</c:v>
                </c:pt>
                <c:pt idx="21">
                  <c:v>3.7031373753879619</c:v>
                </c:pt>
                <c:pt idx="22">
                  <c:v>2.379196228960105</c:v>
                </c:pt>
                <c:pt idx="23">
                  <c:v>1.5061235550722591</c:v>
                </c:pt>
                <c:pt idx="24">
                  <c:v>0.93684659699496386</c:v>
                </c:pt>
                <c:pt idx="25">
                  <c:v>0.5731190172430991</c:v>
                </c:pt>
                <c:pt idx="26">
                  <c:v>0.34777200202377073</c:v>
                </c:pt>
                <c:pt idx="27">
                  <c:v>0.21272323390234962</c:v>
                </c:pt>
                <c:pt idx="28">
                  <c:v>0.13290863777139861</c:v>
                </c:pt>
                <c:pt idx="29">
                  <c:v>8.4864862407663624E-2</c:v>
                </c:pt>
                <c:pt idx="30">
                  <c:v>5.5020311807762616E-2</c:v>
                </c:pt>
                <c:pt idx="31">
                  <c:v>3.6019604755594473E-2</c:v>
                </c:pt>
                <c:pt idx="32">
                  <c:v>2.3728176655503523E-2</c:v>
                </c:pt>
                <c:pt idx="33">
                  <c:v>1.5694649299957165E-2</c:v>
                </c:pt>
                <c:pt idx="34">
                  <c:v>1.0408646182796001E-2</c:v>
                </c:pt>
                <c:pt idx="35">
                  <c:v>6.9151051608851736E-3</c:v>
                </c:pt>
                <c:pt idx="36">
                  <c:v>4.5994681718925226E-3</c:v>
                </c:pt>
                <c:pt idx="37">
                  <c:v>3.0616181761431295E-3</c:v>
                </c:pt>
                <c:pt idx="38">
                  <c:v>2.0389979064116231E-3</c:v>
                </c:pt>
                <c:pt idx="39">
                  <c:v>1.3584086734606698E-3</c:v>
                </c:pt>
                <c:pt idx="40">
                  <c:v>9.0519590698337059E-4</c:v>
                </c:pt>
                <c:pt idx="41">
                  <c:v>6.0328190855078799E-4</c:v>
                </c:pt>
                <c:pt idx="42">
                  <c:v>4.0210707772542805E-4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DAC-4FE0-9C72-F44B20DD59B8}"/>
            </c:ext>
          </c:extLst>
        </c:ser>
        <c:ser>
          <c:idx val="2"/>
          <c:order val="2"/>
          <c:tx>
            <c:strRef>
              <c:f>'Fig S1. Ct &amp; y'!$D$2</c:f>
              <c:strCache>
                <c:ptCount val="1"/>
                <c:pt idx="0">
                  <c:v> Gamma_0.5</c:v>
                </c:pt>
              </c:strCache>
            </c:strRef>
          </c:tx>
          <c:spPr>
            <a:ln w="34925" cap="rnd">
              <a:solidFill>
                <a:schemeClr val="accent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'Fig S1. Ct &amp; y'!$A$3:$A$41</c:f>
              <c:numCache>
                <c:formatCode>General</c:formatCode>
                <c:ptCount val="39"/>
                <c:pt idx="0">
                  <c:v>1E-4</c:v>
                </c:pt>
                <c:pt idx="1">
                  <c:v>1.5000000000000001E-4</c:v>
                </c:pt>
                <c:pt idx="2">
                  <c:v>2.2500000000000002E-4</c:v>
                </c:pt>
                <c:pt idx="3">
                  <c:v>3.3750000000000002E-4</c:v>
                </c:pt>
                <c:pt idx="4">
                  <c:v>5.0624999999999997E-4</c:v>
                </c:pt>
                <c:pt idx="5">
                  <c:v>7.5937499999999996E-4</c:v>
                </c:pt>
                <c:pt idx="6">
                  <c:v>1.1390624999999999E-3</c:v>
                </c:pt>
                <c:pt idx="7">
                  <c:v>1.7085937499999998E-3</c:v>
                </c:pt>
                <c:pt idx="8">
                  <c:v>2.5628906249999996E-3</c:v>
                </c:pt>
                <c:pt idx="9">
                  <c:v>3.8443359374999994E-3</c:v>
                </c:pt>
                <c:pt idx="10">
                  <c:v>5.7665039062499996E-3</c:v>
                </c:pt>
                <c:pt idx="11">
                  <c:v>8.6497558593750003E-3</c:v>
                </c:pt>
                <c:pt idx="12">
                  <c:v>1.29746337890625E-2</c:v>
                </c:pt>
                <c:pt idx="13">
                  <c:v>1.946195068359375E-2</c:v>
                </c:pt>
                <c:pt idx="14">
                  <c:v>2.9192926025390625E-2</c:v>
                </c:pt>
                <c:pt idx="15">
                  <c:v>4.3789389038085935E-2</c:v>
                </c:pt>
                <c:pt idx="16">
                  <c:v>6.5684083557128903E-2</c:v>
                </c:pt>
                <c:pt idx="17">
                  <c:v>9.8526125335693354E-2</c:v>
                </c:pt>
                <c:pt idx="18">
                  <c:v>0.14778918800354002</c:v>
                </c:pt>
                <c:pt idx="19">
                  <c:v>0.22168378200531003</c:v>
                </c:pt>
                <c:pt idx="20">
                  <c:v>0.33252567300796504</c:v>
                </c:pt>
                <c:pt idx="21">
                  <c:v>0.49878850951194753</c:v>
                </c:pt>
                <c:pt idx="22">
                  <c:v>0.7481827642679213</c:v>
                </c:pt>
                <c:pt idx="23">
                  <c:v>1.1222741464018819</c:v>
                </c:pt>
                <c:pt idx="24">
                  <c:v>1.683411219602823</c:v>
                </c:pt>
                <c:pt idx="25">
                  <c:v>2.5251168294042348</c:v>
                </c:pt>
                <c:pt idx="26">
                  <c:v>3.7876752441063521</c:v>
                </c:pt>
                <c:pt idx="27">
                  <c:v>5.6815128661595278</c:v>
                </c:pt>
                <c:pt idx="28">
                  <c:v>8.5222692992392908</c:v>
                </c:pt>
                <c:pt idx="29">
                  <c:v>12.783403948858936</c:v>
                </c:pt>
                <c:pt idx="30">
                  <c:v>19.175105923288406</c:v>
                </c:pt>
                <c:pt idx="31">
                  <c:v>28.762658884932609</c:v>
                </c:pt>
                <c:pt idx="32">
                  <c:v>43.143988327398915</c:v>
                </c:pt>
                <c:pt idx="33">
                  <c:v>64.715982491098373</c:v>
                </c:pt>
                <c:pt idx="34">
                  <c:v>97.073973736647559</c:v>
                </c:pt>
                <c:pt idx="35">
                  <c:v>145.61096060497135</c:v>
                </c:pt>
                <c:pt idx="36">
                  <c:v>218.41644090745703</c:v>
                </c:pt>
                <c:pt idx="37">
                  <c:v>327.62466136118553</c:v>
                </c:pt>
                <c:pt idx="38">
                  <c:v>491.4369920417783</c:v>
                </c:pt>
              </c:numCache>
            </c:numRef>
          </c:xVal>
          <c:yVal>
            <c:numRef>
              <c:f>'Fig S1. Ct &amp; y'!$D$3:$D$41</c:f>
              <c:numCache>
                <c:formatCode>General</c:formatCode>
                <c:ptCount val="39"/>
                <c:pt idx="0">
                  <c:v>9999.5416765235186</c:v>
                </c:pt>
                <c:pt idx="1">
                  <c:v>6666.2083496229288</c:v>
                </c:pt>
                <c:pt idx="2">
                  <c:v>4443.9861280025052</c:v>
                </c:pt>
                <c:pt idx="3">
                  <c:v>2962.5046573958507</c:v>
                </c:pt>
                <c:pt idx="4">
                  <c:v>1974.8503518871892</c:v>
                </c:pt>
                <c:pt idx="5">
                  <c:v>1316.4141592289634</c:v>
                </c:pt>
                <c:pt idx="6">
                  <c:v>877.45671554222474</c:v>
                </c:pt>
                <c:pt idx="7">
                  <c:v>584.81844665737788</c:v>
                </c:pt>
                <c:pt idx="8">
                  <c:v>389.72630777218103</c:v>
                </c:pt>
                <c:pt idx="9">
                  <c:v>259.6649423838598</c:v>
                </c:pt>
                <c:pt idx="10">
                  <c:v>172.9574562535019</c:v>
                </c:pt>
                <c:pt idx="11">
                  <c:v>115.15260165418589</c:v>
                </c:pt>
                <c:pt idx="12">
                  <c:v>76.616236070253123</c:v>
                </c:pt>
                <c:pt idx="13">
                  <c:v>50.925631716037408</c:v>
                </c:pt>
                <c:pt idx="14">
                  <c:v>33.799020772048301</c:v>
                </c:pt>
                <c:pt idx="15">
                  <c:v>22.381967107725952</c:v>
                </c:pt>
                <c:pt idx="16">
                  <c:v>14.77162621506012</c:v>
                </c:pt>
                <c:pt idx="17">
                  <c:v>9.6996027902574173</c:v>
                </c:pt>
                <c:pt idx="18">
                  <c:v>6.3205475470759858</c:v>
                </c:pt>
                <c:pt idx="19">
                  <c:v>4.071256031511493</c:v>
                </c:pt>
                <c:pt idx="20">
                  <c:v>2.5767773071153091</c:v>
                </c:pt>
                <c:pt idx="21">
                  <c:v>1.5878617004227056</c:v>
                </c:pt>
                <c:pt idx="22">
                  <c:v>0.93926520077691467</c:v>
                </c:pt>
                <c:pt idx="23">
                  <c:v>0.52182357424684367</c:v>
                </c:pt>
                <c:pt idx="24">
                  <c:v>0.26336188906191843</c:v>
                </c:pt>
                <c:pt idx="25">
                  <c:v>0.11492270670599704</c:v>
                </c:pt>
                <c:pt idx="26">
                  <c:v>4.0401348659395757E-2</c:v>
                </c:pt>
                <c:pt idx="27">
                  <c:v>1.0346626719779914E-2</c:v>
                </c:pt>
                <c:pt idx="28">
                  <c:v>1.6576405491299966E-3</c:v>
                </c:pt>
                <c:pt idx="29">
                  <c:v>1.3107754338986685E-4</c:v>
                </c:pt>
                <c:pt idx="30">
                  <c:v>3.5763699184288914E-6</c:v>
                </c:pt>
                <c:pt idx="31">
                  <c:v>1.9744173493739833E-8</c:v>
                </c:pt>
                <c:pt idx="32">
                  <c:v>9.9193149827476718E-12</c:v>
                </c:pt>
                <c:pt idx="33">
                  <c:v>1.3680167274070071E-16</c:v>
                </c:pt>
                <c:pt idx="34">
                  <c:v>8.5812711896876205E-24</c:v>
                </c:pt>
                <c:pt idx="35">
                  <c:v>1.6511540166971084E-34</c:v>
                </c:pt>
                <c:pt idx="36">
                  <c:v>1.7068177571690504E-50</c:v>
                </c:pt>
                <c:pt idx="37">
                  <c:v>2.1970105006706133E-74</c:v>
                </c:pt>
                <c:pt idx="38">
                  <c:v>3.9295718358371568E-110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DAC-4FE0-9C72-F44B20DD59B8}"/>
            </c:ext>
          </c:extLst>
        </c:ser>
        <c:ser>
          <c:idx val="3"/>
          <c:order val="3"/>
          <c:tx>
            <c:strRef>
              <c:f>'Fig S1. Ct &amp; y'!$E$2</c:f>
              <c:strCache>
                <c:ptCount val="1"/>
                <c:pt idx="0">
                  <c:v> Gamma_1</c:v>
                </c:pt>
              </c:strCache>
            </c:strRef>
          </c:tx>
          <c:spPr>
            <a:ln w="34925" cap="rnd">
              <a:solidFill>
                <a:schemeClr val="accent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 S1. Ct &amp; y'!$A$3:$A$40</c:f>
              <c:numCache>
                <c:formatCode>General</c:formatCode>
                <c:ptCount val="38"/>
                <c:pt idx="0">
                  <c:v>1E-4</c:v>
                </c:pt>
                <c:pt idx="1">
                  <c:v>1.5000000000000001E-4</c:v>
                </c:pt>
                <c:pt idx="2">
                  <c:v>2.2500000000000002E-4</c:v>
                </c:pt>
                <c:pt idx="3">
                  <c:v>3.3750000000000002E-4</c:v>
                </c:pt>
                <c:pt idx="4">
                  <c:v>5.0624999999999997E-4</c:v>
                </c:pt>
                <c:pt idx="5">
                  <c:v>7.5937499999999996E-4</c:v>
                </c:pt>
                <c:pt idx="6">
                  <c:v>1.1390624999999999E-3</c:v>
                </c:pt>
                <c:pt idx="7">
                  <c:v>1.7085937499999998E-3</c:v>
                </c:pt>
                <c:pt idx="8">
                  <c:v>2.5628906249999996E-3</c:v>
                </c:pt>
                <c:pt idx="9">
                  <c:v>3.8443359374999994E-3</c:v>
                </c:pt>
                <c:pt idx="10">
                  <c:v>5.7665039062499996E-3</c:v>
                </c:pt>
                <c:pt idx="11">
                  <c:v>8.6497558593750003E-3</c:v>
                </c:pt>
                <c:pt idx="12">
                  <c:v>1.29746337890625E-2</c:v>
                </c:pt>
                <c:pt idx="13">
                  <c:v>1.946195068359375E-2</c:v>
                </c:pt>
                <c:pt idx="14">
                  <c:v>2.9192926025390625E-2</c:v>
                </c:pt>
                <c:pt idx="15">
                  <c:v>4.3789389038085935E-2</c:v>
                </c:pt>
                <c:pt idx="16">
                  <c:v>6.5684083557128903E-2</c:v>
                </c:pt>
                <c:pt idx="17">
                  <c:v>9.8526125335693354E-2</c:v>
                </c:pt>
                <c:pt idx="18">
                  <c:v>0.14778918800354002</c:v>
                </c:pt>
                <c:pt idx="19">
                  <c:v>0.22168378200531003</c:v>
                </c:pt>
                <c:pt idx="20">
                  <c:v>0.33252567300796504</c:v>
                </c:pt>
                <c:pt idx="21">
                  <c:v>0.49878850951194753</c:v>
                </c:pt>
                <c:pt idx="22">
                  <c:v>0.7481827642679213</c:v>
                </c:pt>
                <c:pt idx="23">
                  <c:v>1.1222741464018819</c:v>
                </c:pt>
                <c:pt idx="24">
                  <c:v>1.683411219602823</c:v>
                </c:pt>
                <c:pt idx="25">
                  <c:v>2.5251168294042348</c:v>
                </c:pt>
                <c:pt idx="26">
                  <c:v>3.7876752441063521</c:v>
                </c:pt>
                <c:pt idx="27">
                  <c:v>5.6815128661595278</c:v>
                </c:pt>
                <c:pt idx="28">
                  <c:v>8.5222692992392908</c:v>
                </c:pt>
                <c:pt idx="29">
                  <c:v>12.783403948858936</c:v>
                </c:pt>
                <c:pt idx="30">
                  <c:v>19.175105923288406</c:v>
                </c:pt>
                <c:pt idx="31">
                  <c:v>28.762658884932609</c:v>
                </c:pt>
                <c:pt idx="32">
                  <c:v>43.143988327398915</c:v>
                </c:pt>
                <c:pt idx="33">
                  <c:v>64.715982491098373</c:v>
                </c:pt>
                <c:pt idx="34">
                  <c:v>97.073973736647559</c:v>
                </c:pt>
                <c:pt idx="35">
                  <c:v>145.61096060497135</c:v>
                </c:pt>
                <c:pt idx="36">
                  <c:v>218.41644090745703</c:v>
                </c:pt>
                <c:pt idx="37">
                  <c:v>327.62466136118553</c:v>
                </c:pt>
              </c:numCache>
            </c:numRef>
          </c:xVal>
          <c:yVal>
            <c:numRef>
              <c:f>'Fig S1. Ct &amp; y'!$E$3:$E$40</c:f>
              <c:numCache>
                <c:formatCode>General</c:formatCode>
                <c:ptCount val="38"/>
                <c:pt idx="0">
                  <c:v>6666.1851983342804</c:v>
                </c:pt>
                <c:pt idx="1">
                  <c:v>4443.962983357701</c:v>
                </c:pt>
                <c:pt idx="2">
                  <c:v>2962.4815087223064</c:v>
                </c:pt>
                <c:pt idx="3">
                  <c:v>1974.8272024349128</c:v>
                </c:pt>
                <c:pt idx="4">
                  <c:v>1316.391010122479</c:v>
                </c:pt>
                <c:pt idx="5">
                  <c:v>877.43356580963734</c:v>
                </c:pt>
                <c:pt idx="6">
                  <c:v>584.79529613836041</c:v>
                </c:pt>
                <c:pt idx="7">
                  <c:v>389.70315606428443</c:v>
                </c:pt>
                <c:pt idx="8">
                  <c:v>259.64178891200032</c:v>
                </c:pt>
                <c:pt idx="9">
                  <c:v>172.93430014256319</c:v>
                </c:pt>
                <c:pt idx="10">
                  <c:v>115.12944161572592</c:v>
                </c:pt>
                <c:pt idx="11">
                  <c:v>76.593070206744244</c:v>
                </c:pt>
                <c:pt idx="12">
                  <c:v>50.90245726532099</c:v>
                </c:pt>
                <c:pt idx="13">
                  <c:v>33.775833778702491</c:v>
                </c:pt>
                <c:pt idx="14">
                  <c:v>22.358762061447507</c:v>
                </c:pt>
                <c:pt idx="15">
                  <c:v>14.748395801801538</c:v>
                </c:pt>
                <c:pt idx="16">
                  <c:v>9.6763381787939675</c:v>
                </c:pt>
                <c:pt idx="17">
                  <c:v>6.2972402975844766</c:v>
                </c:pt>
                <c:pt idx="18">
                  <c:v>4.0479042502572531</c:v>
                </c:pt>
                <c:pt idx="19">
                  <c:v>2.5534020906341928</c:v>
                </c:pt>
                <c:pt idx="20">
                  <c:v>1.5645470162167385</c:v>
                </c:pt>
                <c:pt idx="21">
                  <c:v>0.91624693518540457</c:v>
                </c:pt>
                <c:pt idx="22">
                  <c:v>0.49966591662743576</c:v>
                </c:pt>
                <c:pt idx="23">
                  <c:v>0.24322651509087212</c:v>
                </c:pt>
                <c:pt idx="24">
                  <c:v>9.8709745444129096E-2</c:v>
                </c:pt>
                <c:pt idx="25">
                  <c:v>3.0039508034312708E-2</c:v>
                </c:pt>
                <c:pt idx="26">
                  <c:v>5.8783737921583668E-3</c:v>
                </c:pt>
                <c:pt idx="27">
                  <c:v>5.9822322443692569E-4</c:v>
                </c:pt>
                <c:pt idx="28">
                  <c:v>2.3345002633979824E-5</c:v>
                </c:pt>
                <c:pt idx="29">
                  <c:v>2.1957888162095649E-7</c:v>
                </c:pt>
                <c:pt idx="30">
                  <c:v>2.4525593965129167E-10</c:v>
                </c:pt>
                <c:pt idx="31">
                  <c:v>1.1212615525403839E-14</c:v>
                </c:pt>
                <c:pt idx="32">
                  <c:v>4.2450582342758342E-21</c:v>
                </c:pt>
                <c:pt idx="33">
                  <c:v>1.2111400463919329E-30</c:v>
                </c:pt>
                <c:pt idx="34">
                  <c:v>7.1483541713440806E-45</c:v>
                </c:pt>
                <c:pt idx="35">
                  <c:v>3.9698055784849848E-66</c:v>
                </c:pt>
                <c:pt idx="36">
                  <c:v>6.3629664148451294E-98</c:v>
                </c:pt>
                <c:pt idx="37">
                  <c:v>1.5813967807006524E-145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DAC-4FE0-9C72-F44B20DD5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642079"/>
        <c:axId val="351635839"/>
      </c:scatterChart>
      <c:valAx>
        <c:axId val="798430191"/>
        <c:scaling>
          <c:logBase val="10"/>
          <c:orientation val="minMax"/>
          <c:max val="1000"/>
          <c:min val="1.0000000000000002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i="0">
                    <a:solidFill>
                      <a:sysClr val="windowText" lastClr="000000"/>
                    </a:solidFill>
                  </a:rPr>
                  <a:t>n</a:t>
                </a:r>
                <a:r>
                  <a:rPr lang="el-GR" i="0">
                    <a:solidFill>
                      <a:sysClr val="windowText" lastClr="000000"/>
                    </a:solidFill>
                    <a:latin typeface="GreekC" panose="00000400000000000000" pitchFamily="2" charset="0"/>
                    <a:cs typeface="GreekC" panose="00000400000000000000" pitchFamily="2" charset="0"/>
                    <a:sym typeface="Symbol" panose="05050102010706020507" pitchFamily="18" charset="2"/>
                  </a:rPr>
                  <a:t></a:t>
                </a:r>
                <a:r>
                  <a:rPr lang="en-US" i="0">
                    <a:solidFill>
                      <a:sysClr val="windowText" lastClr="000000"/>
                    </a:solidFill>
                  </a:rPr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431855"/>
        <c:crossesAt val="0"/>
        <c:crossBetween val="midCat"/>
        <c:majorUnit val="10"/>
      </c:valAx>
      <c:valAx>
        <c:axId val="798431855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>
                    <a:solidFill>
                      <a:sysClr val="windowText" lastClr="000000"/>
                    </a:solidFill>
                  </a:rPr>
                  <a:t>C</a:t>
                </a:r>
                <a:r>
                  <a:rPr lang="en-US" sz="3200" baseline="-25000">
                    <a:solidFill>
                      <a:sysClr val="windowText" lastClr="000000"/>
                    </a:solidFill>
                  </a:rPr>
                  <a:t>T</a:t>
                </a:r>
              </a:p>
            </c:rich>
          </c:tx>
          <c:layout>
            <c:manualLayout>
              <c:xMode val="edge"/>
              <c:yMode val="edge"/>
              <c:x val="3.3062664041994751E-3"/>
              <c:y val="0.387469105424321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430191"/>
        <c:crossesAt val="1.0000000000000003E-4"/>
        <c:crossBetween val="midCat"/>
        <c:majorUnit val="0.2"/>
      </c:valAx>
      <c:valAx>
        <c:axId val="351635839"/>
        <c:scaling>
          <c:logBase val="10"/>
          <c:orientation val="minMax"/>
          <c:max val="1000"/>
          <c:min val="1.0000000000000002E-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3200">
                    <a:solidFill>
                      <a:sysClr val="windowText" lastClr="000000"/>
                    </a:solidFill>
                  </a:rPr>
                  <a:t>γ</a:t>
                </a:r>
                <a:endParaRPr lang="en-US" sz="32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5400" cap="flat" cmpd="sng" algn="ctr">
            <a:solidFill>
              <a:schemeClr val="accent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642079"/>
        <c:crosses val="max"/>
        <c:crossBetween val="midCat"/>
      </c:valAx>
      <c:valAx>
        <c:axId val="351642079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16358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110610269794196"/>
          <c:y val="0.1116732283464567"/>
          <c:w val="0.21272173260716901"/>
          <c:h val="0.276653543307086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4983960338291"/>
          <c:y val="6.0190735694822889E-2"/>
          <c:w val="0.74164357927481284"/>
          <c:h val="0.73790409011373581"/>
        </c:manualLayout>
      </c:layout>
      <c:scatterChart>
        <c:scatterStyle val="lineMarker"/>
        <c:varyColors val="0"/>
        <c:ser>
          <c:idx val="0"/>
          <c:order val="0"/>
          <c:tx>
            <c:v>qc ASHRAE 62.1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19050">
                <a:solidFill>
                  <a:srgbClr val="4472C4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'Fig S4ab. ASHRAE 62.1'!$S$4:$S$87</c:f>
              <c:numCache>
                <c:formatCode>0.000</c:formatCode>
                <c:ptCount val="84"/>
                <c:pt idx="0">
                  <c:v>11.111111111111111</c:v>
                </c:pt>
                <c:pt idx="1">
                  <c:v>27.777777777777775</c:v>
                </c:pt>
                <c:pt idx="2">
                  <c:v>55.55555555555555</c:v>
                </c:pt>
                <c:pt idx="3">
                  <c:v>83.333333333333329</c:v>
                </c:pt>
                <c:pt idx="4">
                  <c:v>166.66666666666666</c:v>
                </c:pt>
                <c:pt idx="5">
                  <c:v>833.33333333333326</c:v>
                </c:pt>
                <c:pt idx="6">
                  <c:v>833.33333333333326</c:v>
                </c:pt>
                <c:pt idx="7">
                  <c:v>6.6666666666666661</c:v>
                </c:pt>
                <c:pt idx="8">
                  <c:v>8.3333333333333339</c:v>
                </c:pt>
                <c:pt idx="9">
                  <c:v>11.111111111111111</c:v>
                </c:pt>
                <c:pt idx="10">
                  <c:v>16.666666666666668</c:v>
                </c:pt>
                <c:pt idx="11">
                  <c:v>16.666666666666668</c:v>
                </c:pt>
                <c:pt idx="12">
                  <c:v>16.666666666666668</c:v>
                </c:pt>
                <c:pt idx="13">
                  <c:v>16.666666666666668</c:v>
                </c:pt>
                <c:pt idx="14">
                  <c:v>16.666666666666668</c:v>
                </c:pt>
                <c:pt idx="15">
                  <c:v>66.666666666666671</c:v>
                </c:pt>
                <c:pt idx="16">
                  <c:v>1.1111111111111112</c:v>
                </c:pt>
                <c:pt idx="17">
                  <c:v>1.6666666666666665</c:v>
                </c:pt>
                <c:pt idx="18">
                  <c:v>1.6666666666666665</c:v>
                </c:pt>
                <c:pt idx="19">
                  <c:v>1.6666666666666665</c:v>
                </c:pt>
                <c:pt idx="20">
                  <c:v>1.6666666666666665</c:v>
                </c:pt>
                <c:pt idx="21">
                  <c:v>2.3809523809523809</c:v>
                </c:pt>
                <c:pt idx="22">
                  <c:v>2.5641025641025643</c:v>
                </c:pt>
                <c:pt idx="23">
                  <c:v>3.333333333333333</c:v>
                </c:pt>
                <c:pt idx="24">
                  <c:v>4.166666666666667</c:v>
                </c:pt>
                <c:pt idx="25">
                  <c:v>4.166666666666667</c:v>
                </c:pt>
                <c:pt idx="26">
                  <c:v>4.7619047619047619</c:v>
                </c:pt>
                <c:pt idx="27">
                  <c:v>4.7619047619047619</c:v>
                </c:pt>
                <c:pt idx="28">
                  <c:v>6.6666666666666661</c:v>
                </c:pt>
                <c:pt idx="29">
                  <c:v>6.6666666666666661</c:v>
                </c:pt>
                <c:pt idx="30">
                  <c:v>6.6666666666666661</c:v>
                </c:pt>
                <c:pt idx="31">
                  <c:v>6.6666666666666661</c:v>
                </c:pt>
                <c:pt idx="32">
                  <c:v>6.6666666666666661</c:v>
                </c:pt>
                <c:pt idx="33">
                  <c:v>6.6666666666666661</c:v>
                </c:pt>
                <c:pt idx="34">
                  <c:v>6.6666666666666661</c:v>
                </c:pt>
                <c:pt idx="35">
                  <c:v>8.3333333333333339</c:v>
                </c:pt>
                <c:pt idx="36">
                  <c:v>8.3333333333333339</c:v>
                </c:pt>
                <c:pt idx="37">
                  <c:v>8.3333333333333339</c:v>
                </c:pt>
                <c:pt idx="38">
                  <c:v>8.3333333333333339</c:v>
                </c:pt>
                <c:pt idx="39">
                  <c:v>8.3333333333333339</c:v>
                </c:pt>
                <c:pt idx="40">
                  <c:v>8.3333333333333339</c:v>
                </c:pt>
                <c:pt idx="41">
                  <c:v>8.3333333333333339</c:v>
                </c:pt>
                <c:pt idx="42">
                  <c:v>8.3333333333333339</c:v>
                </c:pt>
                <c:pt idx="43">
                  <c:v>8.3333333333333339</c:v>
                </c:pt>
                <c:pt idx="44">
                  <c:v>11.111111111111111</c:v>
                </c:pt>
                <c:pt idx="45">
                  <c:v>16.666666666666668</c:v>
                </c:pt>
                <c:pt idx="46">
                  <c:v>16.666666666666668</c:v>
                </c:pt>
                <c:pt idx="47">
                  <c:v>16.666666666666668</c:v>
                </c:pt>
                <c:pt idx="48">
                  <c:v>16.666666666666668</c:v>
                </c:pt>
                <c:pt idx="49">
                  <c:v>16.666666666666668</c:v>
                </c:pt>
                <c:pt idx="50">
                  <c:v>16.666666666666668</c:v>
                </c:pt>
                <c:pt idx="51">
                  <c:v>16.666666666666668</c:v>
                </c:pt>
                <c:pt idx="52">
                  <c:v>20.833333333333332</c:v>
                </c:pt>
                <c:pt idx="53">
                  <c:v>23.80952380952381</c:v>
                </c:pt>
                <c:pt idx="54">
                  <c:v>83.333333333333329</c:v>
                </c:pt>
                <c:pt idx="55">
                  <c:v>0.55555555555555558</c:v>
                </c:pt>
                <c:pt idx="56">
                  <c:v>0.55555555555555558</c:v>
                </c:pt>
                <c:pt idx="57">
                  <c:v>0.69444444444444442</c:v>
                </c:pt>
                <c:pt idx="58">
                  <c:v>0.69444444444444442</c:v>
                </c:pt>
                <c:pt idx="59">
                  <c:v>0.83333333333333326</c:v>
                </c:pt>
                <c:pt idx="60">
                  <c:v>1.1904761904761905</c:v>
                </c:pt>
                <c:pt idx="61">
                  <c:v>1.1904761904761905</c:v>
                </c:pt>
                <c:pt idx="62">
                  <c:v>1.6666666666666665</c:v>
                </c:pt>
                <c:pt idx="63">
                  <c:v>2.0833333333333335</c:v>
                </c:pt>
                <c:pt idx="64">
                  <c:v>2.0833333333333335</c:v>
                </c:pt>
                <c:pt idx="65">
                  <c:v>2.7777777777777777</c:v>
                </c:pt>
                <c:pt idx="66">
                  <c:v>3.333333333333333</c:v>
                </c:pt>
                <c:pt idx="67">
                  <c:v>3.333333333333333</c:v>
                </c:pt>
                <c:pt idx="68">
                  <c:v>3.333333333333333</c:v>
                </c:pt>
                <c:pt idx="69">
                  <c:v>4.166666666666667</c:v>
                </c:pt>
                <c:pt idx="70">
                  <c:v>11.904761904761905</c:v>
                </c:pt>
                <c:pt idx="71">
                  <c:v>20.833333333333332</c:v>
                </c:pt>
                <c:pt idx="72">
                  <c:v>0.34722222222222221</c:v>
                </c:pt>
                <c:pt idx="73">
                  <c:v>0.83333333333333326</c:v>
                </c:pt>
                <c:pt idx="74">
                  <c:v>1.6666666666666665</c:v>
                </c:pt>
                <c:pt idx="75">
                  <c:v>2.0833333333333335</c:v>
                </c:pt>
                <c:pt idx="76">
                  <c:v>2.7777777777777777</c:v>
                </c:pt>
                <c:pt idx="77">
                  <c:v>2.7777777777777777</c:v>
                </c:pt>
                <c:pt idx="78">
                  <c:v>4.166666666666667</c:v>
                </c:pt>
                <c:pt idx="79">
                  <c:v>5.9523809523809526</c:v>
                </c:pt>
                <c:pt idx="80">
                  <c:v>1.0416666666666667</c:v>
                </c:pt>
                <c:pt idx="81">
                  <c:v>2.0833333333333335</c:v>
                </c:pt>
                <c:pt idx="82">
                  <c:v>2.9761904761904763</c:v>
                </c:pt>
                <c:pt idx="83">
                  <c:v>4.166666666666667</c:v>
                </c:pt>
              </c:numCache>
            </c:numRef>
          </c:xVal>
          <c:yVal>
            <c:numRef>
              <c:f>'Fig S4ab. ASHRAE 62.1'!$K$4:$K$87</c:f>
              <c:numCache>
                <c:formatCode>0.000</c:formatCode>
                <c:ptCount val="84"/>
                <c:pt idx="0">
                  <c:v>3.2166666666666668</c:v>
                </c:pt>
                <c:pt idx="1">
                  <c:v>4.291666666666667</c:v>
                </c:pt>
                <c:pt idx="2">
                  <c:v>7.3833333333333329</c:v>
                </c:pt>
                <c:pt idx="3">
                  <c:v>13.375</c:v>
                </c:pt>
                <c:pt idx="4">
                  <c:v>13.25</c:v>
                </c:pt>
                <c:pt idx="5">
                  <c:v>71.25</c:v>
                </c:pt>
                <c:pt idx="6">
                  <c:v>56.25</c:v>
                </c:pt>
                <c:pt idx="7">
                  <c:v>5.95</c:v>
                </c:pt>
                <c:pt idx="8">
                  <c:v>6.4874999999999998</c:v>
                </c:pt>
                <c:pt idx="9">
                  <c:v>6.0833333333333339</c:v>
                </c:pt>
                <c:pt idx="10">
                  <c:v>7.875</c:v>
                </c:pt>
                <c:pt idx="11">
                  <c:v>11.875</c:v>
                </c:pt>
                <c:pt idx="12">
                  <c:v>13.375</c:v>
                </c:pt>
                <c:pt idx="13">
                  <c:v>13.375</c:v>
                </c:pt>
                <c:pt idx="14">
                  <c:v>13.375</c:v>
                </c:pt>
                <c:pt idx="15">
                  <c:v>24</c:v>
                </c:pt>
                <c:pt idx="16">
                  <c:v>4.5166666666666666</c:v>
                </c:pt>
                <c:pt idx="17">
                  <c:v>4.875</c:v>
                </c:pt>
                <c:pt idx="18">
                  <c:v>5.4750000000000005</c:v>
                </c:pt>
                <c:pt idx="19">
                  <c:v>5.4750000000000005</c:v>
                </c:pt>
                <c:pt idx="20">
                  <c:v>4.875</c:v>
                </c:pt>
                <c:pt idx="21">
                  <c:v>6.1928571428571431</c:v>
                </c:pt>
                <c:pt idx="22">
                  <c:v>5.453846153846154</c:v>
                </c:pt>
                <c:pt idx="23">
                  <c:v>5.25</c:v>
                </c:pt>
                <c:pt idx="24">
                  <c:v>8.4375</c:v>
                </c:pt>
                <c:pt idx="25">
                  <c:v>12.6875</c:v>
                </c:pt>
                <c:pt idx="26">
                  <c:v>8.9285714285714288</c:v>
                </c:pt>
                <c:pt idx="27">
                  <c:v>8.071428571428573</c:v>
                </c:pt>
                <c:pt idx="28">
                  <c:v>10.5</c:v>
                </c:pt>
                <c:pt idx="29">
                  <c:v>10.5</c:v>
                </c:pt>
                <c:pt idx="30">
                  <c:v>11.7</c:v>
                </c:pt>
                <c:pt idx="31">
                  <c:v>10.5</c:v>
                </c:pt>
                <c:pt idx="32">
                  <c:v>11.7</c:v>
                </c:pt>
                <c:pt idx="33">
                  <c:v>11.7</c:v>
                </c:pt>
                <c:pt idx="34">
                  <c:v>6.8000000000000007</c:v>
                </c:pt>
                <c:pt idx="35">
                  <c:v>13.375</c:v>
                </c:pt>
                <c:pt idx="36">
                  <c:v>13.375</c:v>
                </c:pt>
                <c:pt idx="37">
                  <c:v>10.675000000000001</c:v>
                </c:pt>
                <c:pt idx="38">
                  <c:v>10.675000000000001</c:v>
                </c:pt>
                <c:pt idx="39">
                  <c:v>13.375</c:v>
                </c:pt>
                <c:pt idx="40">
                  <c:v>13.375</c:v>
                </c:pt>
                <c:pt idx="41">
                  <c:v>13.375</c:v>
                </c:pt>
                <c:pt idx="42">
                  <c:v>13.375</c:v>
                </c:pt>
                <c:pt idx="43">
                  <c:v>13.375</c:v>
                </c:pt>
                <c:pt idx="44">
                  <c:v>10.966666666666667</c:v>
                </c:pt>
                <c:pt idx="45">
                  <c:v>20.75</c:v>
                </c:pt>
                <c:pt idx="46">
                  <c:v>16.25</c:v>
                </c:pt>
                <c:pt idx="47">
                  <c:v>16.25</c:v>
                </c:pt>
                <c:pt idx="48">
                  <c:v>19.25</c:v>
                </c:pt>
                <c:pt idx="49">
                  <c:v>16.25</c:v>
                </c:pt>
                <c:pt idx="50">
                  <c:v>20.55</c:v>
                </c:pt>
                <c:pt idx="51">
                  <c:v>16.25</c:v>
                </c:pt>
                <c:pt idx="52">
                  <c:v>17.237500000000001</c:v>
                </c:pt>
                <c:pt idx="53">
                  <c:v>33.928571428571431</c:v>
                </c:pt>
                <c:pt idx="54">
                  <c:v>73.75</c:v>
                </c:pt>
                <c:pt idx="55">
                  <c:v>3.2166666666666668</c:v>
                </c:pt>
                <c:pt idx="56">
                  <c:v>4.5166666666666666</c:v>
                </c:pt>
                <c:pt idx="57">
                  <c:v>3.3958333333333335</c:v>
                </c:pt>
                <c:pt idx="58">
                  <c:v>3.3958333333333335</c:v>
                </c:pt>
                <c:pt idx="59">
                  <c:v>11.075000000000001</c:v>
                </c:pt>
                <c:pt idx="60">
                  <c:v>4.0357142857142865</c:v>
                </c:pt>
                <c:pt idx="61">
                  <c:v>6.5357142857142865</c:v>
                </c:pt>
                <c:pt idx="62">
                  <c:v>4.6500000000000004</c:v>
                </c:pt>
                <c:pt idx="63">
                  <c:v>7.2374999999999998</c:v>
                </c:pt>
                <c:pt idx="64">
                  <c:v>6.4874999999999998</c:v>
                </c:pt>
                <c:pt idx="65">
                  <c:v>6.0833333333333339</c:v>
                </c:pt>
                <c:pt idx="66">
                  <c:v>11.7</c:v>
                </c:pt>
                <c:pt idx="67">
                  <c:v>8.1</c:v>
                </c:pt>
                <c:pt idx="68">
                  <c:v>15.5</c:v>
                </c:pt>
                <c:pt idx="69">
                  <c:v>13.375</c:v>
                </c:pt>
                <c:pt idx="70">
                  <c:v>23.442857142857143</c:v>
                </c:pt>
                <c:pt idx="71">
                  <c:v>29.375</c:v>
                </c:pt>
                <c:pt idx="72">
                  <c:v>5.1958333333333329</c:v>
                </c:pt>
                <c:pt idx="73">
                  <c:v>4.6500000000000004</c:v>
                </c:pt>
                <c:pt idx="74">
                  <c:v>8</c:v>
                </c:pt>
                <c:pt idx="75">
                  <c:v>12.175000000000001</c:v>
                </c:pt>
                <c:pt idx="76">
                  <c:v>9.6666666666666679</c:v>
                </c:pt>
                <c:pt idx="77">
                  <c:v>12.966666666666667</c:v>
                </c:pt>
                <c:pt idx="78">
                  <c:v>16.25</c:v>
                </c:pt>
                <c:pt idx="79">
                  <c:v>28.928571428571427</c:v>
                </c:pt>
                <c:pt idx="80">
                  <c:v>7.875</c:v>
                </c:pt>
                <c:pt idx="81">
                  <c:v>13.25</c:v>
                </c:pt>
                <c:pt idx="82">
                  <c:v>28.928571428571473</c:v>
                </c:pt>
                <c:pt idx="83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09-4C6A-9852-36FF2A493085}"/>
            </c:ext>
          </c:extLst>
        </c:ser>
        <c:ser>
          <c:idx val="1"/>
          <c:order val="1"/>
          <c:tx>
            <c:v>New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'Fig S4ab. ASHRAE 62.1'!$S$4:$S$87</c:f>
              <c:numCache>
                <c:formatCode>0.000</c:formatCode>
                <c:ptCount val="84"/>
                <c:pt idx="0">
                  <c:v>11.111111111111111</c:v>
                </c:pt>
                <c:pt idx="1">
                  <c:v>27.777777777777775</c:v>
                </c:pt>
                <c:pt idx="2">
                  <c:v>55.55555555555555</c:v>
                </c:pt>
                <c:pt idx="3">
                  <c:v>83.333333333333329</c:v>
                </c:pt>
                <c:pt idx="4">
                  <c:v>166.66666666666666</c:v>
                </c:pt>
                <c:pt idx="5">
                  <c:v>833.33333333333326</c:v>
                </c:pt>
                <c:pt idx="6">
                  <c:v>833.33333333333326</c:v>
                </c:pt>
                <c:pt idx="7">
                  <c:v>6.6666666666666661</c:v>
                </c:pt>
                <c:pt idx="8">
                  <c:v>8.3333333333333339</c:v>
                </c:pt>
                <c:pt idx="9">
                  <c:v>11.111111111111111</c:v>
                </c:pt>
                <c:pt idx="10">
                  <c:v>16.666666666666668</c:v>
                </c:pt>
                <c:pt idx="11">
                  <c:v>16.666666666666668</c:v>
                </c:pt>
                <c:pt idx="12">
                  <c:v>16.666666666666668</c:v>
                </c:pt>
                <c:pt idx="13">
                  <c:v>16.666666666666668</c:v>
                </c:pt>
                <c:pt idx="14">
                  <c:v>16.666666666666668</c:v>
                </c:pt>
                <c:pt idx="15">
                  <c:v>66.666666666666671</c:v>
                </c:pt>
                <c:pt idx="16">
                  <c:v>1.1111111111111112</c:v>
                </c:pt>
                <c:pt idx="17">
                  <c:v>1.6666666666666665</c:v>
                </c:pt>
                <c:pt idx="18">
                  <c:v>1.6666666666666665</c:v>
                </c:pt>
                <c:pt idx="19">
                  <c:v>1.6666666666666665</c:v>
                </c:pt>
                <c:pt idx="20">
                  <c:v>1.6666666666666665</c:v>
                </c:pt>
                <c:pt idx="21">
                  <c:v>2.3809523809523809</c:v>
                </c:pt>
                <c:pt idx="22">
                  <c:v>2.5641025641025643</c:v>
                </c:pt>
                <c:pt idx="23">
                  <c:v>3.333333333333333</c:v>
                </c:pt>
                <c:pt idx="24">
                  <c:v>4.166666666666667</c:v>
                </c:pt>
                <c:pt idx="25">
                  <c:v>4.166666666666667</c:v>
                </c:pt>
                <c:pt idx="26">
                  <c:v>4.7619047619047619</c:v>
                </c:pt>
                <c:pt idx="27">
                  <c:v>4.7619047619047619</c:v>
                </c:pt>
                <c:pt idx="28">
                  <c:v>6.6666666666666661</c:v>
                </c:pt>
                <c:pt idx="29">
                  <c:v>6.6666666666666661</c:v>
                </c:pt>
                <c:pt idx="30">
                  <c:v>6.6666666666666661</c:v>
                </c:pt>
                <c:pt idx="31">
                  <c:v>6.6666666666666661</c:v>
                </c:pt>
                <c:pt idx="32">
                  <c:v>6.6666666666666661</c:v>
                </c:pt>
                <c:pt idx="33">
                  <c:v>6.6666666666666661</c:v>
                </c:pt>
                <c:pt idx="34">
                  <c:v>6.6666666666666661</c:v>
                </c:pt>
                <c:pt idx="35">
                  <c:v>8.3333333333333339</c:v>
                </c:pt>
                <c:pt idx="36">
                  <c:v>8.3333333333333339</c:v>
                </c:pt>
                <c:pt idx="37">
                  <c:v>8.3333333333333339</c:v>
                </c:pt>
                <c:pt idx="38">
                  <c:v>8.3333333333333339</c:v>
                </c:pt>
                <c:pt idx="39">
                  <c:v>8.3333333333333339</c:v>
                </c:pt>
                <c:pt idx="40">
                  <c:v>8.3333333333333339</c:v>
                </c:pt>
                <c:pt idx="41">
                  <c:v>8.3333333333333339</c:v>
                </c:pt>
                <c:pt idx="42">
                  <c:v>8.3333333333333339</c:v>
                </c:pt>
                <c:pt idx="43">
                  <c:v>8.3333333333333339</c:v>
                </c:pt>
                <c:pt idx="44">
                  <c:v>11.111111111111111</c:v>
                </c:pt>
                <c:pt idx="45">
                  <c:v>16.666666666666668</c:v>
                </c:pt>
                <c:pt idx="46">
                  <c:v>16.666666666666668</c:v>
                </c:pt>
                <c:pt idx="47">
                  <c:v>16.666666666666668</c:v>
                </c:pt>
                <c:pt idx="48">
                  <c:v>16.666666666666668</c:v>
                </c:pt>
                <c:pt idx="49">
                  <c:v>16.666666666666668</c:v>
                </c:pt>
                <c:pt idx="50">
                  <c:v>16.666666666666668</c:v>
                </c:pt>
                <c:pt idx="51">
                  <c:v>16.666666666666668</c:v>
                </c:pt>
                <c:pt idx="52">
                  <c:v>20.833333333333332</c:v>
                </c:pt>
                <c:pt idx="53">
                  <c:v>23.80952380952381</c:v>
                </c:pt>
                <c:pt idx="54">
                  <c:v>83.333333333333329</c:v>
                </c:pt>
                <c:pt idx="55">
                  <c:v>0.55555555555555558</c:v>
                </c:pt>
                <c:pt idx="56">
                  <c:v>0.55555555555555558</c:v>
                </c:pt>
                <c:pt idx="57">
                  <c:v>0.69444444444444442</c:v>
                </c:pt>
                <c:pt idx="58">
                  <c:v>0.69444444444444442</c:v>
                </c:pt>
                <c:pt idx="59">
                  <c:v>0.83333333333333326</c:v>
                </c:pt>
                <c:pt idx="60">
                  <c:v>1.1904761904761905</c:v>
                </c:pt>
                <c:pt idx="61">
                  <c:v>1.1904761904761905</c:v>
                </c:pt>
                <c:pt idx="62">
                  <c:v>1.6666666666666665</c:v>
                </c:pt>
                <c:pt idx="63">
                  <c:v>2.0833333333333335</c:v>
                </c:pt>
                <c:pt idx="64">
                  <c:v>2.0833333333333335</c:v>
                </c:pt>
                <c:pt idx="65">
                  <c:v>2.7777777777777777</c:v>
                </c:pt>
                <c:pt idx="66">
                  <c:v>3.333333333333333</c:v>
                </c:pt>
                <c:pt idx="67">
                  <c:v>3.333333333333333</c:v>
                </c:pt>
                <c:pt idx="68">
                  <c:v>3.333333333333333</c:v>
                </c:pt>
                <c:pt idx="69">
                  <c:v>4.166666666666667</c:v>
                </c:pt>
                <c:pt idx="70">
                  <c:v>11.904761904761905</c:v>
                </c:pt>
                <c:pt idx="71">
                  <c:v>20.833333333333332</c:v>
                </c:pt>
                <c:pt idx="72">
                  <c:v>0.34722222222222221</c:v>
                </c:pt>
                <c:pt idx="73">
                  <c:v>0.83333333333333326</c:v>
                </c:pt>
                <c:pt idx="74">
                  <c:v>1.6666666666666665</c:v>
                </c:pt>
                <c:pt idx="75">
                  <c:v>2.0833333333333335</c:v>
                </c:pt>
                <c:pt idx="76">
                  <c:v>2.7777777777777777</c:v>
                </c:pt>
                <c:pt idx="77">
                  <c:v>2.7777777777777777</c:v>
                </c:pt>
                <c:pt idx="78">
                  <c:v>4.166666666666667</c:v>
                </c:pt>
                <c:pt idx="79">
                  <c:v>5.9523809523809526</c:v>
                </c:pt>
                <c:pt idx="80">
                  <c:v>1.0416666666666667</c:v>
                </c:pt>
                <c:pt idx="81">
                  <c:v>2.0833333333333335</c:v>
                </c:pt>
                <c:pt idx="82">
                  <c:v>2.9761904761904763</c:v>
                </c:pt>
                <c:pt idx="83">
                  <c:v>4.166666666666667</c:v>
                </c:pt>
              </c:numCache>
            </c:numRef>
          </c:xVal>
          <c:yVal>
            <c:numRef>
              <c:f>'Fig S4ab. ASHRAE 62.1'!$U$4:$U$87</c:f>
              <c:numCache>
                <c:formatCode>General</c:formatCode>
                <c:ptCount val="8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8.4691289127370872</c:v>
                </c:pt>
                <c:pt idx="17">
                  <c:v>8.1141587085041387</c:v>
                </c:pt>
                <c:pt idx="18">
                  <c:v>9.1385929349055584</c:v>
                </c:pt>
                <c:pt idx="19">
                  <c:v>9.1385929349055584</c:v>
                </c:pt>
                <c:pt idx="20">
                  <c:v>16.755297344419048</c:v>
                </c:pt>
                <c:pt idx="21">
                  <c:v>8.6457062993563643</c:v>
                </c:pt>
                <c:pt idx="22">
                  <c:v>7.4672211655815559</c:v>
                </c:pt>
                <c:pt idx="23">
                  <c:v>5.2291877533948838</c:v>
                </c:pt>
                <c:pt idx="24">
                  <c:v>16.682461027193753</c:v>
                </c:pt>
                <c:pt idx="25">
                  <c:v>38.094820258711358</c:v>
                </c:pt>
                <c:pt idx="26">
                  <c:v>5.5685035148437976</c:v>
                </c:pt>
                <c:pt idx="27">
                  <c:v>36.731354604006007</c:v>
                </c:pt>
                <c:pt idx="28">
                  <c:v>3.5518657322265748</c:v>
                </c:pt>
                <c:pt idx="29">
                  <c:v>1.5282448727655453</c:v>
                </c:pt>
                <c:pt idx="30">
                  <c:v>12.089299659499829</c:v>
                </c:pt>
                <c:pt idx="31">
                  <c:v>1.5282448727655453</c:v>
                </c:pt>
                <c:pt idx="32">
                  <c:v>18.470537680621781</c:v>
                </c:pt>
                <c:pt idx="33">
                  <c:v>13.166489995861321</c:v>
                </c:pt>
                <c:pt idx="34">
                  <c:v>1.5282448727655453</c:v>
                </c:pt>
                <c:pt idx="35">
                  <c:v>10.586600606662849</c:v>
                </c:pt>
                <c:pt idx="36">
                  <c:v>10.586600606662849</c:v>
                </c:pt>
                <c:pt idx="37">
                  <c:v>10.586600606662849</c:v>
                </c:pt>
                <c:pt idx="38">
                  <c:v>2.8012984240824328</c:v>
                </c:pt>
                <c:pt idx="39">
                  <c:v>8.89485404831788</c:v>
                </c:pt>
                <c:pt idx="40">
                  <c:v>17.128192658498399</c:v>
                </c:pt>
                <c:pt idx="41">
                  <c:v>5.9767617824254176</c:v>
                </c:pt>
                <c:pt idx="42">
                  <c:v>4.753400680068804</c:v>
                </c:pt>
                <c:pt idx="43">
                  <c:v>4.753400680068804</c:v>
                </c:pt>
                <c:pt idx="44">
                  <c:v>1</c:v>
                </c:pt>
                <c:pt idx="45">
                  <c:v>17.78970809663576</c:v>
                </c:pt>
                <c:pt idx="46">
                  <c:v>5.6025968481648576</c:v>
                </c:pt>
                <c:pt idx="47">
                  <c:v>5.6025968481648576</c:v>
                </c:pt>
                <c:pt idx="48">
                  <c:v>1</c:v>
                </c:pt>
                <c:pt idx="49">
                  <c:v>1</c:v>
                </c:pt>
                <c:pt idx="50">
                  <c:v>7.6011869643442438</c:v>
                </c:pt>
                <c:pt idx="51">
                  <c:v>1</c:v>
                </c:pt>
                <c:pt idx="52">
                  <c:v>1</c:v>
                </c:pt>
                <c:pt idx="53">
                  <c:v>16.214127050609566</c:v>
                </c:pt>
                <c:pt idx="54">
                  <c:v>1</c:v>
                </c:pt>
                <c:pt idx="55">
                  <c:v>14.804707204430446</c:v>
                </c:pt>
                <c:pt idx="56">
                  <c:v>32.839810224673336</c:v>
                </c:pt>
                <c:pt idx="57">
                  <c:v>12.732220995678823</c:v>
                </c:pt>
                <c:pt idx="58">
                  <c:v>14.741741993924036</c:v>
                </c:pt>
                <c:pt idx="59">
                  <c:v>77.785592915584516</c:v>
                </c:pt>
                <c:pt idx="60">
                  <c:v>14.492337480038367</c:v>
                </c:pt>
                <c:pt idx="61">
                  <c:v>32.584281853988855</c:v>
                </c:pt>
                <c:pt idx="62">
                  <c:v>14.225129990292116</c:v>
                </c:pt>
                <c:pt idx="63">
                  <c:v>32.161892432011236</c:v>
                </c:pt>
                <c:pt idx="64">
                  <c:v>19.047410129355669</c:v>
                </c:pt>
                <c:pt idx="65">
                  <c:v>11.465796597094146</c:v>
                </c:pt>
                <c:pt idx="66">
                  <c:v>11.064971010030435</c:v>
                </c:pt>
                <c:pt idx="67">
                  <c:v>11.064971010030435</c:v>
                </c:pt>
                <c:pt idx="68">
                  <c:v>11.064971010030435</c:v>
                </c:pt>
                <c:pt idx="69">
                  <c:v>33.027926793609474</c:v>
                </c:pt>
                <c:pt idx="70">
                  <c:v>27.514896986075588</c:v>
                </c:pt>
                <c:pt idx="71">
                  <c:v>1</c:v>
                </c:pt>
                <c:pt idx="72">
                  <c:v>49.919796374605177</c:v>
                </c:pt>
                <c:pt idx="73">
                  <c:v>29.727524422224334</c:v>
                </c:pt>
                <c:pt idx="74">
                  <c:v>19.280353642751894</c:v>
                </c:pt>
                <c:pt idx="75">
                  <c:v>115.38946560138791</c:v>
                </c:pt>
                <c:pt idx="76">
                  <c:v>24.721561533490931</c:v>
                </c:pt>
                <c:pt idx="77">
                  <c:v>44.89506612574921</c:v>
                </c:pt>
                <c:pt idx="78">
                  <c:v>27.947220421584735</c:v>
                </c:pt>
                <c:pt idx="79">
                  <c:v>57.312291722863172</c:v>
                </c:pt>
                <c:pt idx="80">
                  <c:v>39.664886480187697</c:v>
                </c:pt>
                <c:pt idx="81">
                  <c:v>51.252999348628443</c:v>
                </c:pt>
                <c:pt idx="82">
                  <c:v>119.05419956978037</c:v>
                </c:pt>
                <c:pt idx="83">
                  <c:v>58.28266103730887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09-4C6A-9852-36FF2A493085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noFill/>
              <a:ln w="22225">
                <a:solidFill>
                  <a:schemeClr val="accent3"/>
                </a:solidFill>
              </a:ln>
              <a:effectLst/>
            </c:spPr>
          </c:marker>
          <c:trendline>
            <c:spPr>
              <a:ln w="47625" cap="rnd">
                <a:solidFill>
                  <a:srgbClr val="00B050"/>
                </a:solidFill>
                <a:prstDash val="sysDot"/>
              </a:ln>
              <a:effectLst/>
            </c:spPr>
            <c:trendlineType val="power"/>
            <c:forward val="50"/>
            <c:backward val="1"/>
            <c:dispRSqr val="0"/>
            <c:dispEq val="0"/>
          </c:trendline>
          <c:xVal>
            <c:numRef>
              <c:f>'Fig S4ab. ASHRAE 62.1'!$X$4:$X$87</c:f>
              <c:numCache>
                <c:formatCode>General</c:formatCode>
                <c:ptCount val="84"/>
                <c:pt idx="0">
                  <c:v>11.111111111111111</c:v>
                </c:pt>
                <c:pt idx="1">
                  <c:v>11.111111111111111</c:v>
                </c:pt>
                <c:pt idx="2">
                  <c:v>11.111111111111111</c:v>
                </c:pt>
                <c:pt idx="3">
                  <c:v>11.111111111111111</c:v>
                </c:pt>
                <c:pt idx="4">
                  <c:v>11.111111111111111</c:v>
                </c:pt>
                <c:pt idx="5">
                  <c:v>11.111111111111111</c:v>
                </c:pt>
                <c:pt idx="6">
                  <c:v>11.111111111111111</c:v>
                </c:pt>
                <c:pt idx="7">
                  <c:v>2.2222222222222223</c:v>
                </c:pt>
                <c:pt idx="8">
                  <c:v>2.2222222222222223</c:v>
                </c:pt>
                <c:pt idx="9">
                  <c:v>2.2222222222222223</c:v>
                </c:pt>
                <c:pt idx="10">
                  <c:v>2.2222222222222223</c:v>
                </c:pt>
                <c:pt idx="11">
                  <c:v>2.2222222222222223</c:v>
                </c:pt>
                <c:pt idx="12">
                  <c:v>2.2222222222222223</c:v>
                </c:pt>
                <c:pt idx="13">
                  <c:v>2.2222222222222223</c:v>
                </c:pt>
                <c:pt idx="14">
                  <c:v>2.2222222222222223</c:v>
                </c:pt>
                <c:pt idx="15">
                  <c:v>2.2222222222222223</c:v>
                </c:pt>
                <c:pt idx="16">
                  <c:v>4.3025322555954331</c:v>
                </c:pt>
                <c:pt idx="17">
                  <c:v>4.2301728674422021</c:v>
                </c:pt>
                <c:pt idx="18">
                  <c:v>4.5951123910109537</c:v>
                </c:pt>
                <c:pt idx="19">
                  <c:v>4.5951123910109537</c:v>
                </c:pt>
                <c:pt idx="20">
                  <c:v>10.910191467809826</c:v>
                </c:pt>
                <c:pt idx="21">
                  <c:v>4.3113386090639478</c:v>
                </c:pt>
                <c:pt idx="22">
                  <c:v>4.1125708624780666</c:v>
                </c:pt>
                <c:pt idx="23">
                  <c:v>3.3180046032160062</c:v>
                </c:pt>
                <c:pt idx="24">
                  <c:v>10.457730366293649</c:v>
                </c:pt>
                <c:pt idx="25">
                  <c:v>24.017704760515741</c:v>
                </c:pt>
                <c:pt idx="26">
                  <c:v>2.2019162314166691</c:v>
                </c:pt>
                <c:pt idx="27">
                  <c:v>26.449634443460276</c:v>
                </c:pt>
                <c:pt idx="28">
                  <c:v>1.6130677215725084</c:v>
                </c:pt>
                <c:pt idx="29">
                  <c:v>1.1111111111111112</c:v>
                </c:pt>
                <c:pt idx="30">
                  <c:v>6.9585618759366739</c:v>
                </c:pt>
                <c:pt idx="31">
                  <c:v>1.1111111111111112</c:v>
                </c:pt>
                <c:pt idx="32">
                  <c:v>11.754147648277728</c:v>
                </c:pt>
                <c:pt idx="33">
                  <c:v>7.7665664366762597</c:v>
                </c:pt>
                <c:pt idx="34">
                  <c:v>3.3180049833328762</c:v>
                </c:pt>
                <c:pt idx="35">
                  <c:v>6.2790361548117488</c:v>
                </c:pt>
                <c:pt idx="36">
                  <c:v>6.2790361548117488</c:v>
                </c:pt>
                <c:pt idx="37">
                  <c:v>8.2704324966666185</c:v>
                </c:pt>
                <c:pt idx="38">
                  <c:v>2.9882221239607767</c:v>
                </c:pt>
                <c:pt idx="39">
                  <c:v>5.0389886073110111</c:v>
                </c:pt>
                <c:pt idx="40">
                  <c:v>11.115631157231512</c:v>
                </c:pt>
                <c:pt idx="41">
                  <c:v>2.9114960638876952</c:v>
                </c:pt>
                <c:pt idx="42">
                  <c:v>2.021817129111394</c:v>
                </c:pt>
                <c:pt idx="43">
                  <c:v>2.021817129111394</c:v>
                </c:pt>
                <c:pt idx="44">
                  <c:v>3.7730156504824031</c:v>
                </c:pt>
                <c:pt idx="45">
                  <c:v>14.581859026582007</c:v>
                </c:pt>
                <c:pt idx="46">
                  <c:v>9.8407994468176483</c:v>
                </c:pt>
                <c:pt idx="47">
                  <c:v>9.8407994468176483</c:v>
                </c:pt>
                <c:pt idx="48">
                  <c:v>1.1111111111111112</c:v>
                </c:pt>
                <c:pt idx="49">
                  <c:v>1.1111111111111112</c:v>
                </c:pt>
                <c:pt idx="50">
                  <c:v>7.8583307073903832</c:v>
                </c:pt>
                <c:pt idx="51">
                  <c:v>1.1111111111111112</c:v>
                </c:pt>
                <c:pt idx="52">
                  <c:v>3.6524553539578535</c:v>
                </c:pt>
                <c:pt idx="53">
                  <c:v>11.212380675139588</c:v>
                </c:pt>
                <c:pt idx="54">
                  <c:v>5.2594112594874582</c:v>
                </c:pt>
                <c:pt idx="55">
                  <c:v>7.5109122767272236</c:v>
                </c:pt>
                <c:pt idx="56">
                  <c:v>17.555281701019279</c:v>
                </c:pt>
                <c:pt idx="57">
                  <c:v>6.289214850121553</c:v>
                </c:pt>
                <c:pt idx="58">
                  <c:v>7.4841410979206895</c:v>
                </c:pt>
                <c:pt idx="59">
                  <c:v>41.047361277636334</c:v>
                </c:pt>
                <c:pt idx="60">
                  <c:v>7.3883613735687472</c:v>
                </c:pt>
                <c:pt idx="61">
                  <c:v>16.797238169598469</c:v>
                </c:pt>
                <c:pt idx="62">
                  <c:v>7.2961635457571195</c:v>
                </c:pt>
                <c:pt idx="63">
                  <c:v>16.865773533751025</c:v>
                </c:pt>
                <c:pt idx="64">
                  <c:v>9.5032819284048795</c:v>
                </c:pt>
                <c:pt idx="65">
                  <c:v>5.8821145035877782</c:v>
                </c:pt>
                <c:pt idx="66">
                  <c:v>2.9502342284586422</c:v>
                </c:pt>
                <c:pt idx="67">
                  <c:v>5.0509469394745921</c:v>
                </c:pt>
                <c:pt idx="68">
                  <c:v>0.55555555555555558</c:v>
                </c:pt>
                <c:pt idx="69">
                  <c:v>15.794413809180343</c:v>
                </c:pt>
                <c:pt idx="70">
                  <c:v>14.208931912737947</c:v>
                </c:pt>
                <c:pt idx="71">
                  <c:v>3.3572883933632425</c:v>
                </c:pt>
                <c:pt idx="72">
                  <c:v>18.172438961984565</c:v>
                </c:pt>
                <c:pt idx="73">
                  <c:v>10.765807051184778</c:v>
                </c:pt>
                <c:pt idx="74">
                  <c:v>6.1138872666162296</c:v>
                </c:pt>
                <c:pt idx="75">
                  <c:v>42.997926768480134</c:v>
                </c:pt>
                <c:pt idx="76">
                  <c:v>8.6526347723533341</c:v>
                </c:pt>
                <c:pt idx="77">
                  <c:v>15.369107977846923</c:v>
                </c:pt>
                <c:pt idx="78">
                  <c:v>8.7347079780163064</c:v>
                </c:pt>
                <c:pt idx="79">
                  <c:v>17.143319209357827</c:v>
                </c:pt>
                <c:pt idx="80">
                  <c:v>8.4303846192228118</c:v>
                </c:pt>
                <c:pt idx="81">
                  <c:v>10.891598007505182</c:v>
                </c:pt>
                <c:pt idx="82">
                  <c:v>23.964017416265101</c:v>
                </c:pt>
                <c:pt idx="83">
                  <c:v>12.079218471027758</c:v>
                </c:pt>
              </c:numCache>
            </c:numRef>
          </c:xVal>
          <c:yVal>
            <c:numRef>
              <c:f>'Fig S4ab. ASHRAE 62.1'!$Y$4:$Y$87</c:f>
              <c:numCache>
                <c:formatCode>General</c:formatCode>
                <c:ptCount val="84"/>
                <c:pt idx="0">
                  <c:v>3.2166666666666668</c:v>
                </c:pt>
                <c:pt idx="1">
                  <c:v>3.5166666666666666</c:v>
                </c:pt>
                <c:pt idx="2">
                  <c:v>5.3166666666666664</c:v>
                </c:pt>
                <c:pt idx="3">
                  <c:v>10.016666666666667</c:v>
                </c:pt>
                <c:pt idx="4">
                  <c:v>6.0166666666666666</c:v>
                </c:pt>
                <c:pt idx="5">
                  <c:v>33.016666666666666</c:v>
                </c:pt>
                <c:pt idx="6">
                  <c:v>18.016666666666666</c:v>
                </c:pt>
                <c:pt idx="7">
                  <c:v>4.916666666666667</c:v>
                </c:pt>
                <c:pt idx="8">
                  <c:v>5.0666666666666664</c:v>
                </c:pt>
                <c:pt idx="9">
                  <c:v>4.0166666666666666</c:v>
                </c:pt>
                <c:pt idx="10">
                  <c:v>4.5166666666666666</c:v>
                </c:pt>
                <c:pt idx="11">
                  <c:v>8.5166666666666675</c:v>
                </c:pt>
                <c:pt idx="12">
                  <c:v>10.016666666666667</c:v>
                </c:pt>
                <c:pt idx="13">
                  <c:v>10.016666666666667</c:v>
                </c:pt>
                <c:pt idx="14">
                  <c:v>10.016666666666667</c:v>
                </c:pt>
                <c:pt idx="15">
                  <c:v>9.0166666666666675</c:v>
                </c:pt>
                <c:pt idx="16">
                  <c:v>6.0006774988518767</c:v>
                </c:pt>
                <c:pt idx="17">
                  <c:v>6.0670303833606241</c:v>
                </c:pt>
                <c:pt idx="18">
                  <c:v>6.8367272618200943</c:v>
                </c:pt>
                <c:pt idx="19">
                  <c:v>6.8367272618200943</c:v>
                </c:pt>
                <c:pt idx="20">
                  <c:v>9.1732390325315691</c:v>
                </c:pt>
                <c:pt idx="21">
                  <c:v>7.0904867389290214</c:v>
                </c:pt>
                <c:pt idx="22">
                  <c:v>6.1738839125907621</c:v>
                </c:pt>
                <c:pt idx="23">
                  <c:v>5.242872140495443</c:v>
                </c:pt>
                <c:pt idx="24">
                  <c:v>11.362844620326547</c:v>
                </c:pt>
                <c:pt idx="25">
                  <c:v>21.918232713639821</c:v>
                </c:pt>
                <c:pt idx="26">
                  <c:v>7.7381767618944659</c:v>
                </c:pt>
                <c:pt idx="27">
                  <c:v>18.156222873351886</c:v>
                </c:pt>
                <c:pt idx="28">
                  <c:v>8.150076490531216</c:v>
                </c:pt>
                <c:pt idx="29">
                  <c:v>7.916666666666667</c:v>
                </c:pt>
                <c:pt idx="30">
                  <c:v>11.835731272310554</c:v>
                </c:pt>
                <c:pt idx="31">
                  <c:v>7.916666666666667</c:v>
                </c:pt>
                <c:pt idx="32">
                  <c:v>14.065678656449144</c:v>
                </c:pt>
                <c:pt idx="33">
                  <c:v>12.211453393054461</c:v>
                </c:pt>
                <c:pt idx="34">
                  <c:v>5.2428723172497875</c:v>
                </c:pt>
                <c:pt idx="35">
                  <c:v>12.419751811987464</c:v>
                </c:pt>
                <c:pt idx="36">
                  <c:v>12.419751811987464</c:v>
                </c:pt>
                <c:pt idx="37">
                  <c:v>10.645751110949977</c:v>
                </c:pt>
                <c:pt idx="38">
                  <c:v>8.1895232876417605</c:v>
                </c:pt>
                <c:pt idx="39">
                  <c:v>11.84312970239962</c:v>
                </c:pt>
                <c:pt idx="40">
                  <c:v>14.668768488112654</c:v>
                </c:pt>
                <c:pt idx="41">
                  <c:v>10.853845669707779</c:v>
                </c:pt>
                <c:pt idx="42">
                  <c:v>10.440144965036799</c:v>
                </c:pt>
                <c:pt idx="43">
                  <c:v>10.440144965036799</c:v>
                </c:pt>
                <c:pt idx="44">
                  <c:v>7.5544522774743168</c:v>
                </c:pt>
                <c:pt idx="45">
                  <c:v>19.780564447360632</c:v>
                </c:pt>
                <c:pt idx="46">
                  <c:v>13.075971742770207</c:v>
                </c:pt>
                <c:pt idx="47">
                  <c:v>13.075971742770207</c:v>
                </c:pt>
                <c:pt idx="48">
                  <c:v>12.016666666666667</c:v>
                </c:pt>
                <c:pt idx="49">
                  <c:v>9.0166666666666675</c:v>
                </c:pt>
                <c:pt idx="50">
                  <c:v>16.45412377893653</c:v>
                </c:pt>
                <c:pt idx="51">
                  <c:v>9.0166666666666675</c:v>
                </c:pt>
                <c:pt idx="52">
                  <c:v>9.2483917395904012</c:v>
                </c:pt>
                <c:pt idx="53">
                  <c:v>28.070899871082762</c:v>
                </c:pt>
                <c:pt idx="54">
                  <c:v>37.44562623566167</c:v>
                </c:pt>
                <c:pt idx="55">
                  <c:v>9.6851484173563183</c:v>
                </c:pt>
                <c:pt idx="56">
                  <c:v>20.326411981947931</c:v>
                </c:pt>
                <c:pt idx="57">
                  <c:v>8.5989698106130454</c:v>
                </c:pt>
                <c:pt idx="58">
                  <c:v>9.7102512210662404</c:v>
                </c:pt>
                <c:pt idx="59">
                  <c:v>48.474045988201794</c:v>
                </c:pt>
                <c:pt idx="60">
                  <c:v>9.7997475059903643</c:v>
                </c:pt>
                <c:pt idx="61">
                  <c:v>21.050002926298006</c:v>
                </c:pt>
                <c:pt idx="62">
                  <c:v>9.885432097554121</c:v>
                </c:pt>
                <c:pt idx="63">
                  <c:v>20.985169386388453</c:v>
                </c:pt>
                <c:pt idx="64">
                  <c:v>13.388052193416538</c:v>
                </c:pt>
                <c:pt idx="65">
                  <c:v>8.9703664883366336</c:v>
                </c:pt>
                <c:pt idx="66">
                  <c:v>11.343717832466538</c:v>
                </c:pt>
                <c:pt idx="67">
                  <c:v>9.6973806537113703</c:v>
                </c:pt>
                <c:pt idx="68">
                  <c:v>12.916666666666668</c:v>
                </c:pt>
                <c:pt idx="69">
                  <c:v>24.188804842537721</c:v>
                </c:pt>
                <c:pt idx="70">
                  <c:v>25.585735250274862</c:v>
                </c:pt>
                <c:pt idx="71">
                  <c:v>13.122278205827815</c:v>
                </c:pt>
                <c:pt idx="72">
                  <c:v>38.350736469291292</c:v>
                </c:pt>
                <c:pt idx="73">
                  <c:v>23.124401115203689</c:v>
                </c:pt>
                <c:pt idx="74">
                  <c:v>16.271830315906186</c:v>
                </c:pt>
                <c:pt idx="75">
                  <c:v>88.276143789373037</c:v>
                </c:pt>
                <c:pt idx="76">
                  <c:v>20.593900676577203</c:v>
                </c:pt>
                <c:pt idx="77">
                  <c:v>36.386540838795277</c:v>
                </c:pt>
                <c:pt idx="78">
                  <c:v>24.74655683911033</c:v>
                </c:pt>
                <c:pt idx="79">
                  <c:v>49.743716586548416</c:v>
                </c:pt>
                <c:pt idx="80">
                  <c:v>35.361030783508866</c:v>
                </c:pt>
                <c:pt idx="81">
                  <c:v>46.016744587919277</c:v>
                </c:pt>
                <c:pt idx="82">
                  <c:v>107.0032876456491</c:v>
                </c:pt>
                <c:pt idx="83">
                  <c:v>53.43469271222326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09-4C6A-9852-36FF2A493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2080"/>
        <c:axId val="103804080"/>
      </c:scatterChart>
      <c:valAx>
        <c:axId val="103732080"/>
        <c:scaling>
          <c:logBase val="10"/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VATC (L/s.p)</a:t>
                </a:r>
              </a:p>
            </c:rich>
          </c:tx>
          <c:layout>
            <c:manualLayout>
              <c:xMode val="edge"/>
              <c:yMode val="edge"/>
              <c:x val="0.46659965070615322"/>
              <c:y val="0.90562536453776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4080"/>
        <c:crosses val="autoZero"/>
        <c:crossBetween val="midCat"/>
        <c:majorUnit val="10"/>
      </c:valAx>
      <c:valAx>
        <c:axId val="103804080"/>
        <c:scaling>
          <c:logBase val="10"/>
          <c:orientation val="minMax"/>
          <c:max val="2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aseline="0"/>
                  <a:t>Clean air equivalent </a:t>
                </a:r>
                <a:r>
                  <a:rPr lang="en-US" sz="2800"/>
                  <a:t>(L/s.p) </a:t>
                </a:r>
              </a:p>
            </c:rich>
          </c:tx>
          <c:layout>
            <c:manualLayout>
              <c:xMode val="edge"/>
              <c:yMode val="edge"/>
              <c:x val="2.0232678527640796E-2"/>
              <c:y val="8.056758530183727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32080"/>
        <c:crossesAt val="0.1"/>
        <c:crossBetween val="midCat"/>
        <c:majorUnit val="10"/>
      </c:valAx>
      <c:spPr>
        <a:noFill/>
        <a:ln w="25400"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66257387965393211"/>
          <c:y val="2.6901246719160107E-2"/>
          <c:w val="0.33742615424034039"/>
          <c:h val="8.1023257509477989E-2"/>
        </c:manualLayout>
      </c:layout>
      <c:overlay val="0"/>
      <c:spPr>
        <a:solidFill>
          <a:srgbClr val="00B0F0">
            <a:alpha val="20000"/>
          </a:srgb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54831546036294"/>
          <c:y val="6.0190735694822889E-2"/>
          <c:w val="0.73984625349423871"/>
          <c:h val="0.74253371974336546"/>
        </c:manualLayout>
      </c:layout>
      <c:scatterChart>
        <c:scatterStyle val="lineMarker"/>
        <c:varyColors val="0"/>
        <c:ser>
          <c:idx val="0"/>
          <c:order val="0"/>
          <c:tx>
            <c:v>qc ASHRAE 241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22225">
                <a:solidFill>
                  <a:srgbClr val="4472C4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'Fig S4bc. ASHRAE 241'!$J$4:$J$32</c:f>
              <c:numCache>
                <c:formatCode>0.0</c:formatCode>
                <c:ptCount val="29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42.857142857142854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6</c:v>
                </c:pt>
                <c:pt idx="14">
                  <c:v>8.5714285714285712</c:v>
                </c:pt>
                <c:pt idx="15">
                  <c:v>2</c:v>
                </c:pt>
                <c:pt idx="16">
                  <c:v>2</c:v>
                </c:pt>
                <c:pt idx="17">
                  <c:v>42.857142857142854</c:v>
                </c:pt>
                <c:pt idx="18">
                  <c:v>7.5</c:v>
                </c:pt>
                <c:pt idx="19">
                  <c:v>60</c:v>
                </c:pt>
                <c:pt idx="20">
                  <c:v>2.5</c:v>
                </c:pt>
                <c:pt idx="21">
                  <c:v>10</c:v>
                </c:pt>
                <c:pt idx="22">
                  <c:v>100</c:v>
                </c:pt>
                <c:pt idx="23">
                  <c:v>4.2857142857142856</c:v>
                </c:pt>
                <c:pt idx="24">
                  <c:v>20</c:v>
                </c:pt>
                <c:pt idx="25">
                  <c:v>42.857142857142854</c:v>
                </c:pt>
                <c:pt idx="26">
                  <c:v>2</c:v>
                </c:pt>
                <c:pt idx="27">
                  <c:v>3</c:v>
                </c:pt>
                <c:pt idx="28">
                  <c:v>150</c:v>
                </c:pt>
              </c:numCache>
            </c:numRef>
          </c:xVal>
          <c:yVal>
            <c:numRef>
              <c:f>'Fig S4bc. ASHRAE 241'!$K$4:$K$32</c:f>
              <c:numCache>
                <c:formatCode>0.0</c:formatCode>
                <c:ptCount val="29"/>
                <c:pt idx="0">
                  <c:v>25.516666666666666</c:v>
                </c:pt>
                <c:pt idx="1">
                  <c:v>30.774999999999999</c:v>
                </c:pt>
                <c:pt idx="2">
                  <c:v>16.291666666666668</c:v>
                </c:pt>
                <c:pt idx="3">
                  <c:v>30.516666666666666</c:v>
                </c:pt>
                <c:pt idx="4">
                  <c:v>18.100000000000001</c:v>
                </c:pt>
                <c:pt idx="5">
                  <c:v>22.583333333333332</c:v>
                </c:pt>
                <c:pt idx="6">
                  <c:v>23.1</c:v>
                </c:pt>
                <c:pt idx="7">
                  <c:v>23.1</c:v>
                </c:pt>
                <c:pt idx="8">
                  <c:v>51.071428571428569</c:v>
                </c:pt>
                <c:pt idx="9">
                  <c:v>23.875</c:v>
                </c:pt>
                <c:pt idx="10">
                  <c:v>38.875</c:v>
                </c:pt>
                <c:pt idx="11">
                  <c:v>38.875</c:v>
                </c:pt>
                <c:pt idx="12">
                  <c:v>28.875</c:v>
                </c:pt>
                <c:pt idx="13">
                  <c:v>46.55</c:v>
                </c:pt>
                <c:pt idx="14">
                  <c:v>22.214285714285715</c:v>
                </c:pt>
                <c:pt idx="15">
                  <c:v>25.516666666666666</c:v>
                </c:pt>
                <c:pt idx="16">
                  <c:v>25.516666666666666</c:v>
                </c:pt>
                <c:pt idx="17">
                  <c:v>36.071428571428569</c:v>
                </c:pt>
                <c:pt idx="18">
                  <c:v>31.9375</c:v>
                </c:pt>
                <c:pt idx="19">
                  <c:v>30.5</c:v>
                </c:pt>
                <c:pt idx="20">
                  <c:v>25.645833333333332</c:v>
                </c:pt>
                <c:pt idx="21">
                  <c:v>27.583333333333332</c:v>
                </c:pt>
                <c:pt idx="22">
                  <c:v>40.833333333333329</c:v>
                </c:pt>
                <c:pt idx="23">
                  <c:v>31.107142857142858</c:v>
                </c:pt>
                <c:pt idx="24">
                  <c:v>25.166666666666668</c:v>
                </c:pt>
                <c:pt idx="25">
                  <c:v>21.071428571428569</c:v>
                </c:pt>
                <c:pt idx="26">
                  <c:v>25.516666666666666</c:v>
                </c:pt>
                <c:pt idx="27">
                  <c:v>30.774999999999999</c:v>
                </c:pt>
                <c:pt idx="28">
                  <c:v>48.75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BB-499B-BD35-32E943236017}"/>
            </c:ext>
          </c:extLst>
        </c:ser>
        <c:ser>
          <c:idx val="1"/>
          <c:order val="1"/>
          <c:tx>
            <c:v>New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222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trendline>
            <c:spPr>
              <a:ln w="34925" cap="rnd">
                <a:solidFill>
                  <a:schemeClr val="accent2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'Fig S4bc. ASHRAE 241'!$J$4:$J$32</c:f>
              <c:numCache>
                <c:formatCode>0.0</c:formatCode>
                <c:ptCount val="29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42.857142857142854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6</c:v>
                </c:pt>
                <c:pt idx="14">
                  <c:v>8.5714285714285712</c:v>
                </c:pt>
                <c:pt idx="15">
                  <c:v>2</c:v>
                </c:pt>
                <c:pt idx="16">
                  <c:v>2</c:v>
                </c:pt>
                <c:pt idx="17">
                  <c:v>42.857142857142854</c:v>
                </c:pt>
                <c:pt idx="18">
                  <c:v>7.5</c:v>
                </c:pt>
                <c:pt idx="19">
                  <c:v>60</c:v>
                </c:pt>
                <c:pt idx="20">
                  <c:v>2.5</c:v>
                </c:pt>
                <c:pt idx="21">
                  <c:v>10</c:v>
                </c:pt>
                <c:pt idx="22">
                  <c:v>100</c:v>
                </c:pt>
                <c:pt idx="23">
                  <c:v>4.2857142857142856</c:v>
                </c:pt>
                <c:pt idx="24">
                  <c:v>20</c:v>
                </c:pt>
                <c:pt idx="25">
                  <c:v>42.857142857142854</c:v>
                </c:pt>
                <c:pt idx="26">
                  <c:v>2</c:v>
                </c:pt>
                <c:pt idx="27">
                  <c:v>3</c:v>
                </c:pt>
                <c:pt idx="28">
                  <c:v>150</c:v>
                </c:pt>
              </c:numCache>
            </c:numRef>
          </c:xVal>
          <c:yVal>
            <c:numRef>
              <c:f>'Fig S4bc. ASHRAE 241'!$U$4:$U$32</c:f>
              <c:numCache>
                <c:formatCode>General</c:formatCode>
                <c:ptCount val="29"/>
                <c:pt idx="0">
                  <c:v>12.797528843341945</c:v>
                </c:pt>
                <c:pt idx="1">
                  <c:v>9.1385929349055584</c:v>
                </c:pt>
                <c:pt idx="2">
                  <c:v>29.783104804031343</c:v>
                </c:pt>
                <c:pt idx="3">
                  <c:v>25.928530971861505</c:v>
                </c:pt>
                <c:pt idx="4">
                  <c:v>39.746520331814942</c:v>
                </c:pt>
                <c:pt idx="5">
                  <c:v>25.464441991357649</c:v>
                </c:pt>
                <c:pt idx="6">
                  <c:v>35.38018078541765</c:v>
                </c:pt>
                <c:pt idx="7">
                  <c:v>25.32690791830111</c:v>
                </c:pt>
                <c:pt idx="8">
                  <c:v>16.214127050609566</c:v>
                </c:pt>
                <c:pt idx="9">
                  <c:v>1</c:v>
                </c:pt>
                <c:pt idx="10">
                  <c:v>1</c:v>
                </c:pt>
                <c:pt idx="11">
                  <c:v>39.664886480187697</c:v>
                </c:pt>
                <c:pt idx="12">
                  <c:v>39.664886480187697</c:v>
                </c:pt>
                <c:pt idx="13">
                  <c:v>12.195844528398833</c:v>
                </c:pt>
                <c:pt idx="14">
                  <c:v>25.558506523043278</c:v>
                </c:pt>
                <c:pt idx="15">
                  <c:v>5.921867963358582</c:v>
                </c:pt>
                <c:pt idx="16">
                  <c:v>2.0848488690847597</c:v>
                </c:pt>
                <c:pt idx="17">
                  <c:v>57.312291722863172</c:v>
                </c:pt>
                <c:pt idx="18">
                  <c:v>35.655891197589831</c:v>
                </c:pt>
                <c:pt idx="19">
                  <c:v>25.053657719696034</c:v>
                </c:pt>
                <c:pt idx="20">
                  <c:v>12.732220995678823</c:v>
                </c:pt>
                <c:pt idx="21">
                  <c:v>25.464441991357649</c:v>
                </c:pt>
                <c:pt idx="22">
                  <c:v>36.371795407156988</c:v>
                </c:pt>
                <c:pt idx="23">
                  <c:v>8.6457062993563643</c:v>
                </c:pt>
                <c:pt idx="24">
                  <c:v>1</c:v>
                </c:pt>
                <c:pt idx="25">
                  <c:v>67.416514974439863</c:v>
                </c:pt>
                <c:pt idx="26">
                  <c:v>12.797528843341945</c:v>
                </c:pt>
                <c:pt idx="27">
                  <c:v>5.5324855050152157</c:v>
                </c:pt>
                <c:pt idx="28">
                  <c:v>25.065776656812989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5BB-499B-BD35-32E943236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2080"/>
        <c:axId val="103804080"/>
      </c:scatterChart>
      <c:valAx>
        <c:axId val="103732080"/>
        <c:scaling>
          <c:logBase val="10"/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Spaciousness  (m</a:t>
                </a:r>
                <a:r>
                  <a:rPr lang="en-US" sz="2800" baseline="30000"/>
                  <a:t>3</a:t>
                </a:r>
                <a:r>
                  <a:rPr lang="en-US" sz="2800"/>
                  <a:t>/person)</a:t>
                </a:r>
              </a:p>
            </c:rich>
          </c:tx>
          <c:layout>
            <c:manualLayout>
              <c:xMode val="edge"/>
              <c:yMode val="edge"/>
              <c:x val="0.33110968257214934"/>
              <c:y val="0.910254994167395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4080"/>
        <c:crosses val="autoZero"/>
        <c:crossBetween val="midCat"/>
      </c:valAx>
      <c:valAx>
        <c:axId val="103804080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 C</a:t>
                </a:r>
                <a:r>
                  <a:rPr lang="en-US" altLang="zh-CN" sz="2800"/>
                  <a:t>lean air equivalent</a:t>
                </a:r>
                <a:r>
                  <a:rPr lang="en-US" altLang="zh-CN" sz="2800" baseline="0"/>
                  <a:t> </a:t>
                </a:r>
                <a:r>
                  <a:rPr lang="en-US" sz="2800"/>
                  <a:t>(L/s.p) </a:t>
                </a:r>
              </a:p>
            </c:rich>
          </c:tx>
          <c:layout>
            <c:manualLayout>
              <c:xMode val="edge"/>
              <c:yMode val="edge"/>
              <c:x val="3.058559568892465E-2"/>
              <c:y val="8.056776757072033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32080"/>
        <c:crosses val="autoZero"/>
        <c:crossBetween val="midCat"/>
        <c:majorUnit val="20"/>
      </c:valAx>
      <c:spPr>
        <a:noFill/>
        <a:ln w="25400"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6714685055859124"/>
          <c:y val="3.142315543890347E-2"/>
          <c:w val="0.29430414730834031"/>
          <c:h val="0.11853073053368329"/>
        </c:manualLayout>
      </c:layout>
      <c:overlay val="0"/>
      <c:spPr>
        <a:solidFill>
          <a:schemeClr val="accent1">
            <a:lumMod val="50000"/>
            <a:alpha val="25098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58378294686318"/>
          <c:y val="6.0190735694822889E-2"/>
          <c:w val="0.74075511739090749"/>
          <c:h val="0.74253371974336546"/>
        </c:manualLayout>
      </c:layout>
      <c:scatterChart>
        <c:scatterStyle val="lineMarker"/>
        <c:varyColors val="0"/>
        <c:ser>
          <c:idx val="0"/>
          <c:order val="0"/>
          <c:tx>
            <c:v>qc ASHRAE 241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22225">
                <a:solidFill>
                  <a:srgbClr val="4472C4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'Fig S4bc. ASHRAE 241'!$S$4:$S$32</c:f>
              <c:numCache>
                <c:formatCode>0.000</c:formatCode>
                <c:ptCount val="29"/>
                <c:pt idx="0">
                  <c:v>0.55555555555555558</c:v>
                </c:pt>
                <c:pt idx="1">
                  <c:v>1.6666666666666665</c:v>
                </c:pt>
                <c:pt idx="2">
                  <c:v>0.69444444444444442</c:v>
                </c:pt>
                <c:pt idx="3">
                  <c:v>0.27777777777777779</c:v>
                </c:pt>
                <c:pt idx="4">
                  <c:v>0.83333333333333326</c:v>
                </c:pt>
                <c:pt idx="5">
                  <c:v>1.3888888888888888</c:v>
                </c:pt>
                <c:pt idx="6">
                  <c:v>1.6666666666666665</c:v>
                </c:pt>
                <c:pt idx="7">
                  <c:v>1.6666666666666665</c:v>
                </c:pt>
                <c:pt idx="8">
                  <c:v>23.809523809523807</c:v>
                </c:pt>
                <c:pt idx="9">
                  <c:v>8.3333333333333339</c:v>
                </c:pt>
                <c:pt idx="10">
                  <c:v>8.3333333333333339</c:v>
                </c:pt>
                <c:pt idx="11">
                  <c:v>1.0416666666666667</c:v>
                </c:pt>
                <c:pt idx="12">
                  <c:v>1.0416666666666667</c:v>
                </c:pt>
                <c:pt idx="13">
                  <c:v>1.6666666666666665</c:v>
                </c:pt>
                <c:pt idx="14">
                  <c:v>1.1904761904761905</c:v>
                </c:pt>
                <c:pt idx="15">
                  <c:v>1.1111111111111112</c:v>
                </c:pt>
                <c:pt idx="16">
                  <c:v>2.2222222222222223</c:v>
                </c:pt>
                <c:pt idx="17">
                  <c:v>5.9523809523809517</c:v>
                </c:pt>
                <c:pt idx="18">
                  <c:v>1.0416666666666667</c:v>
                </c:pt>
                <c:pt idx="19">
                  <c:v>8.3333333333333339</c:v>
                </c:pt>
                <c:pt idx="20">
                  <c:v>0.69444444444444442</c:v>
                </c:pt>
                <c:pt idx="21">
                  <c:v>1.3888888888888888</c:v>
                </c:pt>
                <c:pt idx="22">
                  <c:v>6.9444444444444446</c:v>
                </c:pt>
                <c:pt idx="23">
                  <c:v>2.3809523809523809</c:v>
                </c:pt>
                <c:pt idx="24">
                  <c:v>11.111111111111111</c:v>
                </c:pt>
                <c:pt idx="25">
                  <c:v>5.9523809523809517</c:v>
                </c:pt>
                <c:pt idx="26">
                  <c:v>0.55555555555555558</c:v>
                </c:pt>
                <c:pt idx="27">
                  <c:v>1.6666666666666665</c:v>
                </c:pt>
                <c:pt idx="28">
                  <c:v>20.833333333333332</c:v>
                </c:pt>
              </c:numCache>
            </c:numRef>
          </c:xVal>
          <c:yVal>
            <c:numRef>
              <c:f>'Fig S4bc. ASHRAE 241'!$K$4:$K$32</c:f>
              <c:numCache>
                <c:formatCode>0.0</c:formatCode>
                <c:ptCount val="29"/>
                <c:pt idx="0">
                  <c:v>25.516666666666666</c:v>
                </c:pt>
                <c:pt idx="1">
                  <c:v>30.774999999999999</c:v>
                </c:pt>
                <c:pt idx="2">
                  <c:v>16.291666666666668</c:v>
                </c:pt>
                <c:pt idx="3">
                  <c:v>30.516666666666666</c:v>
                </c:pt>
                <c:pt idx="4">
                  <c:v>18.100000000000001</c:v>
                </c:pt>
                <c:pt idx="5">
                  <c:v>22.583333333333332</c:v>
                </c:pt>
                <c:pt idx="6">
                  <c:v>23.1</c:v>
                </c:pt>
                <c:pt idx="7">
                  <c:v>23.1</c:v>
                </c:pt>
                <c:pt idx="8">
                  <c:v>51.071428571428569</c:v>
                </c:pt>
                <c:pt idx="9">
                  <c:v>23.875</c:v>
                </c:pt>
                <c:pt idx="10">
                  <c:v>38.875</c:v>
                </c:pt>
                <c:pt idx="11">
                  <c:v>38.875</c:v>
                </c:pt>
                <c:pt idx="12">
                  <c:v>28.875</c:v>
                </c:pt>
                <c:pt idx="13">
                  <c:v>46.55</c:v>
                </c:pt>
                <c:pt idx="14">
                  <c:v>22.214285714285715</c:v>
                </c:pt>
                <c:pt idx="15">
                  <c:v>25.516666666666666</c:v>
                </c:pt>
                <c:pt idx="16">
                  <c:v>25.516666666666666</c:v>
                </c:pt>
                <c:pt idx="17">
                  <c:v>36.071428571428569</c:v>
                </c:pt>
                <c:pt idx="18">
                  <c:v>31.9375</c:v>
                </c:pt>
                <c:pt idx="19">
                  <c:v>30.5</c:v>
                </c:pt>
                <c:pt idx="20">
                  <c:v>25.645833333333332</c:v>
                </c:pt>
                <c:pt idx="21">
                  <c:v>27.583333333333332</c:v>
                </c:pt>
                <c:pt idx="22">
                  <c:v>40.833333333333329</c:v>
                </c:pt>
                <c:pt idx="23">
                  <c:v>31.107142857142858</c:v>
                </c:pt>
                <c:pt idx="24">
                  <c:v>25.166666666666668</c:v>
                </c:pt>
                <c:pt idx="25">
                  <c:v>21.071428571428569</c:v>
                </c:pt>
                <c:pt idx="26">
                  <c:v>25.516666666666666</c:v>
                </c:pt>
                <c:pt idx="27">
                  <c:v>30.774999999999999</c:v>
                </c:pt>
                <c:pt idx="28">
                  <c:v>48.75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EB-4FBD-BD21-31E19A984650}"/>
            </c:ext>
          </c:extLst>
        </c:ser>
        <c:ser>
          <c:idx val="1"/>
          <c:order val="1"/>
          <c:tx>
            <c:v>New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222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2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'Fig S4bc. ASHRAE 241'!$S$4:$S$32</c:f>
              <c:numCache>
                <c:formatCode>0.000</c:formatCode>
                <c:ptCount val="29"/>
                <c:pt idx="0">
                  <c:v>0.55555555555555558</c:v>
                </c:pt>
                <c:pt idx="1">
                  <c:v>1.6666666666666665</c:v>
                </c:pt>
                <c:pt idx="2">
                  <c:v>0.69444444444444442</c:v>
                </c:pt>
                <c:pt idx="3">
                  <c:v>0.27777777777777779</c:v>
                </c:pt>
                <c:pt idx="4">
                  <c:v>0.83333333333333326</c:v>
                </c:pt>
                <c:pt idx="5">
                  <c:v>1.3888888888888888</c:v>
                </c:pt>
                <c:pt idx="6">
                  <c:v>1.6666666666666665</c:v>
                </c:pt>
                <c:pt idx="7">
                  <c:v>1.6666666666666665</c:v>
                </c:pt>
                <c:pt idx="8">
                  <c:v>23.809523809523807</c:v>
                </c:pt>
                <c:pt idx="9">
                  <c:v>8.3333333333333339</c:v>
                </c:pt>
                <c:pt idx="10">
                  <c:v>8.3333333333333339</c:v>
                </c:pt>
                <c:pt idx="11">
                  <c:v>1.0416666666666667</c:v>
                </c:pt>
                <c:pt idx="12">
                  <c:v>1.0416666666666667</c:v>
                </c:pt>
                <c:pt idx="13">
                  <c:v>1.6666666666666665</c:v>
                </c:pt>
                <c:pt idx="14">
                  <c:v>1.1904761904761905</c:v>
                </c:pt>
                <c:pt idx="15">
                  <c:v>1.1111111111111112</c:v>
                </c:pt>
                <c:pt idx="16">
                  <c:v>2.2222222222222223</c:v>
                </c:pt>
                <c:pt idx="17">
                  <c:v>5.9523809523809517</c:v>
                </c:pt>
                <c:pt idx="18">
                  <c:v>1.0416666666666667</c:v>
                </c:pt>
                <c:pt idx="19">
                  <c:v>8.3333333333333339</c:v>
                </c:pt>
                <c:pt idx="20">
                  <c:v>0.69444444444444442</c:v>
                </c:pt>
                <c:pt idx="21">
                  <c:v>1.3888888888888888</c:v>
                </c:pt>
                <c:pt idx="22">
                  <c:v>6.9444444444444446</c:v>
                </c:pt>
                <c:pt idx="23">
                  <c:v>2.3809523809523809</c:v>
                </c:pt>
                <c:pt idx="24">
                  <c:v>11.111111111111111</c:v>
                </c:pt>
                <c:pt idx="25">
                  <c:v>5.9523809523809517</c:v>
                </c:pt>
                <c:pt idx="26">
                  <c:v>0.55555555555555558</c:v>
                </c:pt>
                <c:pt idx="27">
                  <c:v>1.6666666666666665</c:v>
                </c:pt>
                <c:pt idx="28">
                  <c:v>20.833333333333332</c:v>
                </c:pt>
              </c:numCache>
            </c:numRef>
          </c:xVal>
          <c:yVal>
            <c:numRef>
              <c:f>'Fig S4bc. ASHRAE 241'!$U$4:$U$32</c:f>
              <c:numCache>
                <c:formatCode>General</c:formatCode>
                <c:ptCount val="29"/>
                <c:pt idx="0">
                  <c:v>12.797528843341945</c:v>
                </c:pt>
                <c:pt idx="1">
                  <c:v>9.1385929349055584</c:v>
                </c:pt>
                <c:pt idx="2">
                  <c:v>29.783104804031343</c:v>
                </c:pt>
                <c:pt idx="3">
                  <c:v>25.928530971861505</c:v>
                </c:pt>
                <c:pt idx="4">
                  <c:v>39.746520331814942</c:v>
                </c:pt>
                <c:pt idx="5">
                  <c:v>25.464441991357649</c:v>
                </c:pt>
                <c:pt idx="6">
                  <c:v>35.38018078541765</c:v>
                </c:pt>
                <c:pt idx="7">
                  <c:v>25.32690791830111</c:v>
                </c:pt>
                <c:pt idx="8">
                  <c:v>16.214127050609566</c:v>
                </c:pt>
                <c:pt idx="9">
                  <c:v>1</c:v>
                </c:pt>
                <c:pt idx="10">
                  <c:v>1</c:v>
                </c:pt>
                <c:pt idx="11">
                  <c:v>39.664886480187697</c:v>
                </c:pt>
                <c:pt idx="12">
                  <c:v>39.664886480187697</c:v>
                </c:pt>
                <c:pt idx="13">
                  <c:v>12.195844528398833</c:v>
                </c:pt>
                <c:pt idx="14">
                  <c:v>25.558506523043278</c:v>
                </c:pt>
                <c:pt idx="15">
                  <c:v>5.921867963358582</c:v>
                </c:pt>
                <c:pt idx="16">
                  <c:v>2.0848488690847597</c:v>
                </c:pt>
                <c:pt idx="17">
                  <c:v>57.312291722863172</c:v>
                </c:pt>
                <c:pt idx="18">
                  <c:v>35.655891197589831</c:v>
                </c:pt>
                <c:pt idx="19">
                  <c:v>25.053657719696034</c:v>
                </c:pt>
                <c:pt idx="20">
                  <c:v>12.732220995678823</c:v>
                </c:pt>
                <c:pt idx="21">
                  <c:v>25.464441991357649</c:v>
                </c:pt>
                <c:pt idx="22">
                  <c:v>36.371795407156988</c:v>
                </c:pt>
                <c:pt idx="23">
                  <c:v>8.6457062993563643</c:v>
                </c:pt>
                <c:pt idx="24">
                  <c:v>1</c:v>
                </c:pt>
                <c:pt idx="25">
                  <c:v>67.416514974439863</c:v>
                </c:pt>
                <c:pt idx="26">
                  <c:v>12.797528843341945</c:v>
                </c:pt>
                <c:pt idx="27">
                  <c:v>5.5324855050152157</c:v>
                </c:pt>
                <c:pt idx="28">
                  <c:v>25.065776656812989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EB-4FBD-BD21-31E19A984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2080"/>
        <c:axId val="103804080"/>
      </c:scatterChart>
      <c:valAx>
        <c:axId val="103732080"/>
        <c:scaling>
          <c:logBase val="10"/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VTAC (L/s.p)</a:t>
                </a:r>
              </a:p>
            </c:rich>
          </c:tx>
          <c:layout>
            <c:manualLayout>
              <c:xMode val="edge"/>
              <c:yMode val="edge"/>
              <c:x val="0.44817591250452593"/>
              <c:y val="0.912569808982210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4080"/>
        <c:crosses val="autoZero"/>
        <c:crossBetween val="midCat"/>
      </c:valAx>
      <c:valAx>
        <c:axId val="103804080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aseline="0"/>
                  <a:t>Clean air equivalent </a:t>
                </a:r>
                <a:r>
                  <a:rPr lang="en-US" sz="2800"/>
                  <a:t>(L/s.p) </a:t>
                </a:r>
              </a:p>
            </c:rich>
          </c:tx>
          <c:layout>
            <c:manualLayout>
              <c:xMode val="edge"/>
              <c:yMode val="edge"/>
              <c:x val="3.2438019157136858E-2"/>
              <c:y val="0.136334441084598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32080"/>
        <c:crossesAt val="0.1"/>
        <c:crossBetween val="midCat"/>
        <c:majorUnit val="20"/>
      </c:valAx>
      <c:spPr>
        <a:noFill/>
        <a:ln w="25400"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6392890056017217"/>
          <c:y val="3.0322980460775736E-2"/>
          <c:w val="0.2961324141873663"/>
          <c:h val="0.12370042286380871"/>
        </c:manualLayout>
      </c:layout>
      <c:overlay val="0"/>
      <c:spPr>
        <a:solidFill>
          <a:srgbClr val="00B0F0">
            <a:alpha val="21961"/>
          </a:srgb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15286607898834"/>
          <c:y val="3.1285700981148079E-2"/>
          <c:w val="0.7260679741421211"/>
          <c:h val="0.75271377247235394"/>
        </c:manualLayout>
      </c:layout>
      <c:scatterChart>
        <c:scatterStyle val="lineMarker"/>
        <c:varyColors val="0"/>
        <c:ser>
          <c:idx val="6"/>
          <c:order val="0"/>
          <c:tx>
            <c:v> qe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9ADE"/>
              </a:solidFill>
              <a:ln w="19050">
                <a:solidFill>
                  <a:srgbClr val="009ADE"/>
                </a:solidFill>
              </a:ln>
              <a:effectLst/>
            </c:spPr>
          </c:marker>
          <c:xVal>
            <c:numRef>
              <c:f>'Fig S2. ASHRAE 62.1'!$J$27:$J$65</c:f>
              <c:numCache>
                <c:formatCode>0.0</c:formatCode>
                <c:ptCount val="39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4.2857142857142856</c:v>
                </c:pt>
                <c:pt idx="6">
                  <c:v>4.6153846153846159</c:v>
                </c:pt>
                <c:pt idx="7">
                  <c:v>6</c:v>
                </c:pt>
                <c:pt idx="8">
                  <c:v>7.5</c:v>
                </c:pt>
                <c:pt idx="9">
                  <c:v>7.5</c:v>
                </c:pt>
                <c:pt idx="10">
                  <c:v>8.5714285714285712</c:v>
                </c:pt>
                <c:pt idx="11">
                  <c:v>8.5714285714285712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20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37.5</c:v>
                </c:pt>
                <c:pt idx="37">
                  <c:v>42.857142857142861</c:v>
                </c:pt>
                <c:pt idx="38">
                  <c:v>150</c:v>
                </c:pt>
              </c:numCache>
            </c:numRef>
          </c:xVal>
          <c:yVal>
            <c:numRef>
              <c:f>'Fig S2. ASHRAE 62.1'!$M$27:$M$65</c:f>
              <c:numCache>
                <c:formatCode>0.000</c:formatCode>
                <c:ptCount val="39"/>
                <c:pt idx="0">
                  <c:v>5.1499274887973829</c:v>
                </c:pt>
                <c:pt idx="1">
                  <c:v>5.8766651128019118</c:v>
                </c:pt>
                <c:pt idx="2">
                  <c:v>6.4563194879802195</c:v>
                </c:pt>
                <c:pt idx="3">
                  <c:v>6.4563194879802195</c:v>
                </c:pt>
                <c:pt idx="4">
                  <c:v>5.8766651128019118</c:v>
                </c:pt>
                <c:pt idx="5">
                  <c:v>7.6566132909707711</c:v>
                </c:pt>
                <c:pt idx="6">
                  <c:v>7.0988953493896672</c:v>
                </c:pt>
                <c:pt idx="7">
                  <c:v>7.5415481953301464</c:v>
                </c:pt>
                <c:pt idx="8">
                  <c:v>11.140257462592233</c:v>
                </c:pt>
                <c:pt idx="9">
                  <c:v>15.173379389207041</c:v>
                </c:pt>
                <c:pt idx="10">
                  <c:v>12.072085317344543</c:v>
                </c:pt>
                <c:pt idx="11">
                  <c:v>11.289369517851764</c:v>
                </c:pt>
                <c:pt idx="12">
                  <c:v>15.083096390660293</c:v>
                </c:pt>
                <c:pt idx="13">
                  <c:v>15.083096390660293</c:v>
                </c:pt>
                <c:pt idx="14">
                  <c:v>16.168766443461823</c:v>
                </c:pt>
                <c:pt idx="15">
                  <c:v>15.083096390660293</c:v>
                </c:pt>
                <c:pt idx="16">
                  <c:v>16.168766443461823</c:v>
                </c:pt>
                <c:pt idx="17">
                  <c:v>16.168766443461823</c:v>
                </c:pt>
                <c:pt idx="18">
                  <c:v>11.856119316580941</c:v>
                </c:pt>
                <c:pt idx="19">
                  <c:v>19.078642801228774</c:v>
                </c:pt>
                <c:pt idx="20">
                  <c:v>19.078642801228774</c:v>
                </c:pt>
                <c:pt idx="21">
                  <c:v>16.685077776243578</c:v>
                </c:pt>
                <c:pt idx="22">
                  <c:v>16.685077776243578</c:v>
                </c:pt>
                <c:pt idx="23">
                  <c:v>19.078642801228774</c:v>
                </c:pt>
                <c:pt idx="24">
                  <c:v>19.078642801228774</c:v>
                </c:pt>
                <c:pt idx="25">
                  <c:v>19.078642801228774</c:v>
                </c:pt>
                <c:pt idx="26">
                  <c:v>19.078642801228774</c:v>
                </c:pt>
                <c:pt idx="27">
                  <c:v>19.078642801228774</c:v>
                </c:pt>
                <c:pt idx="28">
                  <c:v>19.452059681151272</c:v>
                </c:pt>
                <c:pt idx="29">
                  <c:v>32.848351843367055</c:v>
                </c:pt>
                <c:pt idx="30">
                  <c:v>29.010576030587565</c:v>
                </c:pt>
                <c:pt idx="31">
                  <c:v>29.010576030587565</c:v>
                </c:pt>
                <c:pt idx="32">
                  <c:v>31.553766167051926</c:v>
                </c:pt>
                <c:pt idx="33">
                  <c:v>29.010576030587565</c:v>
                </c:pt>
                <c:pt idx="34">
                  <c:v>32.674911247133373</c:v>
                </c:pt>
                <c:pt idx="35">
                  <c:v>29.010576030587565</c:v>
                </c:pt>
                <c:pt idx="36">
                  <c:v>33.719817984889488</c:v>
                </c:pt>
                <c:pt idx="37">
                  <c:v>50.683605320107361</c:v>
                </c:pt>
                <c:pt idx="38">
                  <c:v>138.82050459918165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0A-4F37-9091-020582BDC0A5}"/>
            </c:ext>
          </c:extLst>
        </c:ser>
        <c:ser>
          <c:idx val="7"/>
          <c:order val="1"/>
          <c:tx>
            <c:v> qc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noFill/>
              <a:ln w="19050">
                <a:solidFill>
                  <a:srgbClr val="009ADE"/>
                </a:solidFill>
              </a:ln>
              <a:effectLst/>
            </c:spPr>
          </c:marker>
          <c:xVal>
            <c:numRef>
              <c:f>'Fig S2. ASHRAE 62.1'!$J$27:$J$65</c:f>
              <c:numCache>
                <c:formatCode>0.0</c:formatCode>
                <c:ptCount val="39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4.2857142857142856</c:v>
                </c:pt>
                <c:pt idx="6">
                  <c:v>4.6153846153846159</c:v>
                </c:pt>
                <c:pt idx="7">
                  <c:v>6</c:v>
                </c:pt>
                <c:pt idx="8">
                  <c:v>7.5</c:v>
                </c:pt>
                <c:pt idx="9">
                  <c:v>7.5</c:v>
                </c:pt>
                <c:pt idx="10">
                  <c:v>8.5714285714285712</c:v>
                </c:pt>
                <c:pt idx="11">
                  <c:v>8.5714285714285712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20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37.5</c:v>
                </c:pt>
                <c:pt idx="37">
                  <c:v>42.857142857142861</c:v>
                </c:pt>
                <c:pt idx="38">
                  <c:v>150</c:v>
                </c:pt>
              </c:numCache>
            </c:numRef>
          </c:xVal>
          <c:yVal>
            <c:numRef>
              <c:f>'Fig S2. ASHRAE 62.1'!$R$27:$R$65</c:f>
              <c:numCache>
                <c:formatCode>0.000</c:formatCode>
                <c:ptCount val="39"/>
                <c:pt idx="0">
                  <c:v>4.5166666666666666</c:v>
                </c:pt>
                <c:pt idx="1">
                  <c:v>4.875</c:v>
                </c:pt>
                <c:pt idx="2">
                  <c:v>5.4750000000000005</c:v>
                </c:pt>
                <c:pt idx="3">
                  <c:v>5.4750000000000005</c:v>
                </c:pt>
                <c:pt idx="4">
                  <c:v>4.875</c:v>
                </c:pt>
                <c:pt idx="5">
                  <c:v>6.1928571428571431</c:v>
                </c:pt>
                <c:pt idx="6">
                  <c:v>5.453846153846154</c:v>
                </c:pt>
                <c:pt idx="7">
                  <c:v>5.25</c:v>
                </c:pt>
                <c:pt idx="8">
                  <c:v>8.4375</c:v>
                </c:pt>
                <c:pt idx="9">
                  <c:v>12.6875</c:v>
                </c:pt>
                <c:pt idx="10">
                  <c:v>8.9285714285714288</c:v>
                </c:pt>
                <c:pt idx="11">
                  <c:v>8.071428571428573</c:v>
                </c:pt>
                <c:pt idx="12">
                  <c:v>10.5</c:v>
                </c:pt>
                <c:pt idx="13">
                  <c:v>10.5</c:v>
                </c:pt>
                <c:pt idx="14">
                  <c:v>11.7</c:v>
                </c:pt>
                <c:pt idx="15">
                  <c:v>10.5</c:v>
                </c:pt>
                <c:pt idx="16">
                  <c:v>11.7</c:v>
                </c:pt>
                <c:pt idx="17">
                  <c:v>11.7</c:v>
                </c:pt>
                <c:pt idx="18">
                  <c:v>6.8000000000000007</c:v>
                </c:pt>
                <c:pt idx="19">
                  <c:v>13.375</c:v>
                </c:pt>
                <c:pt idx="20">
                  <c:v>13.375</c:v>
                </c:pt>
                <c:pt idx="21">
                  <c:v>10.675000000000001</c:v>
                </c:pt>
                <c:pt idx="22">
                  <c:v>10.675000000000001</c:v>
                </c:pt>
                <c:pt idx="23">
                  <c:v>13.375</c:v>
                </c:pt>
                <c:pt idx="24">
                  <c:v>13.375</c:v>
                </c:pt>
                <c:pt idx="25">
                  <c:v>13.375</c:v>
                </c:pt>
                <c:pt idx="26">
                  <c:v>13.375</c:v>
                </c:pt>
                <c:pt idx="27">
                  <c:v>13.375</c:v>
                </c:pt>
                <c:pt idx="28">
                  <c:v>10.966666666666667</c:v>
                </c:pt>
                <c:pt idx="29">
                  <c:v>20.75</c:v>
                </c:pt>
                <c:pt idx="30">
                  <c:v>16.25</c:v>
                </c:pt>
                <c:pt idx="31">
                  <c:v>16.25</c:v>
                </c:pt>
                <c:pt idx="32">
                  <c:v>19.25</c:v>
                </c:pt>
                <c:pt idx="33">
                  <c:v>16.25</c:v>
                </c:pt>
                <c:pt idx="34">
                  <c:v>20.55</c:v>
                </c:pt>
                <c:pt idx="35">
                  <c:v>16.25</c:v>
                </c:pt>
                <c:pt idx="36">
                  <c:v>17.237500000000001</c:v>
                </c:pt>
                <c:pt idx="37">
                  <c:v>33.928571428571431</c:v>
                </c:pt>
                <c:pt idx="38">
                  <c:v>73.75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0A-4F37-9091-020582BDC0A5}"/>
            </c:ext>
          </c:extLst>
        </c:ser>
        <c:ser>
          <c:idx val="8"/>
          <c:order val="2"/>
          <c:tx>
            <c:v> qvt</c:v>
          </c:tx>
          <c:spPr>
            <a:ln w="25400" cap="rnd">
              <a:solidFill>
                <a:srgbClr val="009AD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 S2. ASHRAE 62.1'!$J$26:$J$66</c:f>
              <c:numCache>
                <c:formatCode>0.0</c:formatCode>
                <c:ptCount val="41"/>
                <c:pt idx="0" formatCode="General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4.2857142857142856</c:v>
                </c:pt>
                <c:pt idx="7">
                  <c:v>4.6153846153846159</c:v>
                </c:pt>
                <c:pt idx="8">
                  <c:v>6</c:v>
                </c:pt>
                <c:pt idx="9">
                  <c:v>7.5</c:v>
                </c:pt>
                <c:pt idx="10">
                  <c:v>7.5</c:v>
                </c:pt>
                <c:pt idx="11">
                  <c:v>8.5714285714285712</c:v>
                </c:pt>
                <c:pt idx="12">
                  <c:v>8.5714285714285712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20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37.5</c:v>
                </c:pt>
                <c:pt idx="38">
                  <c:v>42.857142857142861</c:v>
                </c:pt>
                <c:pt idx="39">
                  <c:v>150</c:v>
                </c:pt>
                <c:pt idx="40" formatCode="0.000">
                  <c:v>20000</c:v>
                </c:pt>
              </c:numCache>
            </c:numRef>
          </c:xVal>
          <c:yVal>
            <c:numRef>
              <c:f>'Fig S2. ASHRAE 62.1'!$S$26:$S$66</c:f>
              <c:numCache>
                <c:formatCode>0.000</c:formatCode>
                <c:ptCount val="41"/>
                <c:pt idx="0">
                  <c:v>0.55555555555555558</c:v>
                </c:pt>
                <c:pt idx="1">
                  <c:v>1.1111111111111112</c:v>
                </c:pt>
                <c:pt idx="2">
                  <c:v>1.6666666666666665</c:v>
                </c:pt>
                <c:pt idx="3">
                  <c:v>1.6666666666666665</c:v>
                </c:pt>
                <c:pt idx="4">
                  <c:v>1.6666666666666665</c:v>
                </c:pt>
                <c:pt idx="5">
                  <c:v>1.6666666666666665</c:v>
                </c:pt>
                <c:pt idx="6">
                  <c:v>2.3809523809523809</c:v>
                </c:pt>
                <c:pt idx="7">
                  <c:v>2.5641025641025643</c:v>
                </c:pt>
                <c:pt idx="8">
                  <c:v>3.333333333333333</c:v>
                </c:pt>
                <c:pt idx="9">
                  <c:v>4.166666666666667</c:v>
                </c:pt>
                <c:pt idx="10">
                  <c:v>4.166666666666667</c:v>
                </c:pt>
                <c:pt idx="11">
                  <c:v>4.7619047619047619</c:v>
                </c:pt>
                <c:pt idx="12">
                  <c:v>4.7619047619047619</c:v>
                </c:pt>
                <c:pt idx="13">
                  <c:v>6.6666666666666661</c:v>
                </c:pt>
                <c:pt idx="14">
                  <c:v>6.6666666666666661</c:v>
                </c:pt>
                <c:pt idx="15">
                  <c:v>6.6666666666666661</c:v>
                </c:pt>
                <c:pt idx="16">
                  <c:v>6.6666666666666661</c:v>
                </c:pt>
                <c:pt idx="17">
                  <c:v>6.6666666666666661</c:v>
                </c:pt>
                <c:pt idx="18">
                  <c:v>6.6666666666666661</c:v>
                </c:pt>
                <c:pt idx="19">
                  <c:v>6.6666666666666661</c:v>
                </c:pt>
                <c:pt idx="20">
                  <c:v>8.3333333333333339</c:v>
                </c:pt>
                <c:pt idx="21">
                  <c:v>8.3333333333333339</c:v>
                </c:pt>
                <c:pt idx="22">
                  <c:v>8.3333333333333339</c:v>
                </c:pt>
                <c:pt idx="23">
                  <c:v>8.3333333333333339</c:v>
                </c:pt>
                <c:pt idx="24">
                  <c:v>8.3333333333333339</c:v>
                </c:pt>
                <c:pt idx="25">
                  <c:v>8.3333333333333339</c:v>
                </c:pt>
                <c:pt idx="26">
                  <c:v>8.3333333333333339</c:v>
                </c:pt>
                <c:pt idx="27">
                  <c:v>8.3333333333333339</c:v>
                </c:pt>
                <c:pt idx="28">
                  <c:v>8.3333333333333339</c:v>
                </c:pt>
                <c:pt idx="29">
                  <c:v>11.111111111111111</c:v>
                </c:pt>
                <c:pt idx="30">
                  <c:v>16.666666666666668</c:v>
                </c:pt>
                <c:pt idx="31">
                  <c:v>16.666666666666668</c:v>
                </c:pt>
                <c:pt idx="32">
                  <c:v>16.666666666666668</c:v>
                </c:pt>
                <c:pt idx="33">
                  <c:v>16.666666666666668</c:v>
                </c:pt>
                <c:pt idx="34">
                  <c:v>16.666666666666668</c:v>
                </c:pt>
                <c:pt idx="35">
                  <c:v>16.666666666666668</c:v>
                </c:pt>
                <c:pt idx="36">
                  <c:v>16.666666666666668</c:v>
                </c:pt>
                <c:pt idx="37">
                  <c:v>20.833333333333332</c:v>
                </c:pt>
                <c:pt idx="38">
                  <c:v>23.80952380952381</c:v>
                </c:pt>
                <c:pt idx="39">
                  <c:v>83.333333333333329</c:v>
                </c:pt>
                <c:pt idx="40">
                  <c:v>11111.111111111111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0A-4F37-9091-020582BDC0A5}"/>
            </c:ext>
          </c:extLst>
        </c:ser>
        <c:ser>
          <c:idx val="9"/>
          <c:order val="3"/>
          <c:tx>
            <c:strRef>
              <c:f>'Fig S2. ASHRAE 62.1'!$M$67</c:f>
              <c:strCache>
                <c:ptCount val="1"/>
                <c:pt idx="0">
                  <c:v>qe: effective clean flow rate (L/s.p)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F58BA"/>
              </a:solidFill>
              <a:ln w="19050">
                <a:solidFill>
                  <a:srgbClr val="AF58BA"/>
                </a:solidFill>
              </a:ln>
              <a:effectLst/>
            </c:spPr>
          </c:marker>
          <c:xVal>
            <c:numRef>
              <c:f>'Fig S2. ASHRAE 62.1'!$J$69:$J$85</c:f>
              <c:numCache>
                <c:formatCode>0.0</c:formatCode>
                <c:ptCount val="17"/>
                <c:pt idx="0">
                  <c:v>2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  <c:pt idx="4">
                  <c:v>3</c:v>
                </c:pt>
                <c:pt idx="5">
                  <c:v>4.2857142857142856</c:v>
                </c:pt>
                <c:pt idx="6">
                  <c:v>4.2857142857142856</c:v>
                </c:pt>
                <c:pt idx="7">
                  <c:v>6</c:v>
                </c:pt>
                <c:pt idx="8">
                  <c:v>7.5</c:v>
                </c:pt>
                <c:pt idx="9">
                  <c:v>7.5</c:v>
                </c:pt>
                <c:pt idx="10">
                  <c:v>10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42.857142857142861</c:v>
                </c:pt>
                <c:pt idx="16">
                  <c:v>75</c:v>
                </c:pt>
              </c:numCache>
            </c:numRef>
          </c:xVal>
          <c:yVal>
            <c:numRef>
              <c:f>'Fig S2. ASHRAE 62.1'!$M$69:$M$85</c:f>
              <c:numCache>
                <c:formatCode>0.000</c:formatCode>
                <c:ptCount val="17"/>
                <c:pt idx="0">
                  <c:v>3.5206963210842113</c:v>
                </c:pt>
                <c:pt idx="1">
                  <c:v>4.8126474169334559</c:v>
                </c:pt>
                <c:pt idx="2">
                  <c:v>3.7825781335719015</c:v>
                </c:pt>
                <c:pt idx="3">
                  <c:v>3.7825781335719015</c:v>
                </c:pt>
                <c:pt idx="4">
                  <c:v>11.507955433931475</c:v>
                </c:pt>
                <c:pt idx="5">
                  <c:v>4.7330043015850052</c:v>
                </c:pt>
                <c:pt idx="6">
                  <c:v>7.1905832000094634</c:v>
                </c:pt>
                <c:pt idx="7">
                  <c:v>5.6606211650170115</c:v>
                </c:pt>
                <c:pt idx="8">
                  <c:v>8.4529304809884351</c:v>
                </c:pt>
                <c:pt idx="9">
                  <c:v>7.7254981909890681</c:v>
                </c:pt>
                <c:pt idx="10">
                  <c:v>7.8540311960498146</c:v>
                </c:pt>
                <c:pt idx="11">
                  <c:v>13.641496159962065</c:v>
                </c:pt>
                <c:pt idx="12">
                  <c:v>10.178009197841526</c:v>
                </c:pt>
                <c:pt idx="13">
                  <c:v>17.367278579506387</c:v>
                </c:pt>
                <c:pt idx="14">
                  <c:v>15.837953029345474</c:v>
                </c:pt>
                <c:pt idx="15">
                  <c:v>31.214034595190224</c:v>
                </c:pt>
                <c:pt idx="16">
                  <c:v>44.07173765401717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0A-4F37-9091-020582BDC0A5}"/>
            </c:ext>
          </c:extLst>
        </c:ser>
        <c:ser>
          <c:idx val="10"/>
          <c:order val="4"/>
          <c:tx>
            <c:strRef>
              <c:f>'Fig S2. ASHRAE 62.1'!$R$67</c:f>
              <c:strCache>
                <c:ptCount val="1"/>
                <c:pt idx="0">
                  <c:v>qc-tote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22225">
                <a:solidFill>
                  <a:srgbClr val="AF58BA"/>
                </a:solidFill>
              </a:ln>
              <a:effectLst/>
            </c:spPr>
          </c:marker>
          <c:xVal>
            <c:numRef>
              <c:f>'Fig S2. ASHRAE 62.1'!$J$69:$J$85</c:f>
              <c:numCache>
                <c:formatCode>0.0</c:formatCode>
                <c:ptCount val="17"/>
                <c:pt idx="0">
                  <c:v>2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  <c:pt idx="4">
                  <c:v>3</c:v>
                </c:pt>
                <c:pt idx="5">
                  <c:v>4.2857142857142856</c:v>
                </c:pt>
                <c:pt idx="6">
                  <c:v>4.2857142857142856</c:v>
                </c:pt>
                <c:pt idx="7">
                  <c:v>6</c:v>
                </c:pt>
                <c:pt idx="8">
                  <c:v>7.5</c:v>
                </c:pt>
                <c:pt idx="9">
                  <c:v>7.5</c:v>
                </c:pt>
                <c:pt idx="10">
                  <c:v>10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42.857142857142861</c:v>
                </c:pt>
                <c:pt idx="16">
                  <c:v>75</c:v>
                </c:pt>
              </c:numCache>
            </c:numRef>
          </c:xVal>
          <c:yVal>
            <c:numRef>
              <c:f>'Fig S2. ASHRAE 62.1'!$R$69:$R$85</c:f>
              <c:numCache>
                <c:formatCode>0.000</c:formatCode>
                <c:ptCount val="17"/>
                <c:pt idx="0">
                  <c:v>3.2166666666666668</c:v>
                </c:pt>
                <c:pt idx="1">
                  <c:v>4.5166666666666666</c:v>
                </c:pt>
                <c:pt idx="2">
                  <c:v>3.3958333333333335</c:v>
                </c:pt>
                <c:pt idx="3">
                  <c:v>3.3958333333333335</c:v>
                </c:pt>
                <c:pt idx="4">
                  <c:v>11.075000000000001</c:v>
                </c:pt>
                <c:pt idx="5">
                  <c:v>4.0357142857142865</c:v>
                </c:pt>
                <c:pt idx="6">
                  <c:v>6.5357142857142865</c:v>
                </c:pt>
                <c:pt idx="7">
                  <c:v>4.6500000000000004</c:v>
                </c:pt>
                <c:pt idx="8">
                  <c:v>7.2374999999999998</c:v>
                </c:pt>
                <c:pt idx="9">
                  <c:v>6.4874999999999998</c:v>
                </c:pt>
                <c:pt idx="10">
                  <c:v>6.0833333333333339</c:v>
                </c:pt>
                <c:pt idx="11">
                  <c:v>11.7</c:v>
                </c:pt>
                <c:pt idx="12">
                  <c:v>8.1</c:v>
                </c:pt>
                <c:pt idx="13">
                  <c:v>15.5</c:v>
                </c:pt>
                <c:pt idx="14">
                  <c:v>13.375</c:v>
                </c:pt>
                <c:pt idx="15">
                  <c:v>23.442857142857143</c:v>
                </c:pt>
                <c:pt idx="16">
                  <c:v>29.375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0A-4F37-9091-020582BDC0A5}"/>
            </c:ext>
          </c:extLst>
        </c:ser>
        <c:ser>
          <c:idx val="11"/>
          <c:order val="5"/>
          <c:tx>
            <c:strRef>
              <c:f>'Fig S2. ASHRAE 62.1'!$S$67</c:f>
              <c:strCache>
                <c:ptCount val="1"/>
                <c:pt idx="0">
                  <c:v>Vp-tote</c:v>
                </c:pt>
              </c:strCache>
            </c:strRef>
          </c:tx>
          <c:spPr>
            <a:ln w="25400" cap="rnd">
              <a:solidFill>
                <a:srgbClr val="AF58BA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 S2. ASHRAE 62.1'!$J$68:$J$86</c:f>
              <c:numCache>
                <c:formatCode>0.0</c:formatCode>
                <c:ptCount val="19"/>
                <c:pt idx="0" formatCode="General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2.5</c:v>
                </c:pt>
                <c:pt idx="4">
                  <c:v>2.5</c:v>
                </c:pt>
                <c:pt idx="5">
                  <c:v>3</c:v>
                </c:pt>
                <c:pt idx="6">
                  <c:v>4.2857142857142856</c:v>
                </c:pt>
                <c:pt idx="7">
                  <c:v>4.2857142857142856</c:v>
                </c:pt>
                <c:pt idx="8">
                  <c:v>6</c:v>
                </c:pt>
                <c:pt idx="9">
                  <c:v>7.5</c:v>
                </c:pt>
                <c:pt idx="10">
                  <c:v>7.5</c:v>
                </c:pt>
                <c:pt idx="11">
                  <c:v>10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15</c:v>
                </c:pt>
                <c:pt idx="16">
                  <c:v>42.857142857142861</c:v>
                </c:pt>
                <c:pt idx="17">
                  <c:v>75</c:v>
                </c:pt>
                <c:pt idx="18" formatCode="0.000">
                  <c:v>200000</c:v>
                </c:pt>
              </c:numCache>
            </c:numRef>
          </c:xVal>
          <c:yVal>
            <c:numRef>
              <c:f>'Fig S2. ASHRAE 62.1'!$S$68:$S$86</c:f>
              <c:numCache>
                <c:formatCode>0.000</c:formatCode>
                <c:ptCount val="19"/>
                <c:pt idx="0">
                  <c:v>0.27777777777777779</c:v>
                </c:pt>
                <c:pt idx="1">
                  <c:v>0.55555555555555558</c:v>
                </c:pt>
                <c:pt idx="2">
                  <c:v>0.55555555555555558</c:v>
                </c:pt>
                <c:pt idx="3">
                  <c:v>0.69444444444444442</c:v>
                </c:pt>
                <c:pt idx="4">
                  <c:v>0.69444444444444442</c:v>
                </c:pt>
                <c:pt idx="5">
                  <c:v>0.83333333333333326</c:v>
                </c:pt>
                <c:pt idx="6">
                  <c:v>1.1904761904761905</c:v>
                </c:pt>
                <c:pt idx="7">
                  <c:v>1.1904761904761905</c:v>
                </c:pt>
                <c:pt idx="8">
                  <c:v>1.6666666666666665</c:v>
                </c:pt>
                <c:pt idx="9">
                  <c:v>2.0833333333333335</c:v>
                </c:pt>
                <c:pt idx="10">
                  <c:v>2.0833333333333335</c:v>
                </c:pt>
                <c:pt idx="11">
                  <c:v>2.7777777777777777</c:v>
                </c:pt>
                <c:pt idx="12">
                  <c:v>3.333333333333333</c:v>
                </c:pt>
                <c:pt idx="13">
                  <c:v>3.333333333333333</c:v>
                </c:pt>
                <c:pt idx="14">
                  <c:v>3.333333333333333</c:v>
                </c:pt>
                <c:pt idx="15">
                  <c:v>4.166666666666667</c:v>
                </c:pt>
                <c:pt idx="16">
                  <c:v>11.904761904761905</c:v>
                </c:pt>
                <c:pt idx="17">
                  <c:v>20.833333333333332</c:v>
                </c:pt>
                <c:pt idx="18">
                  <c:v>55555.555555555555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20A-4F37-9091-020582BDC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496688"/>
        <c:axId val="1387501264"/>
        <c:extLst/>
      </c:scatterChart>
      <c:valAx>
        <c:axId val="1387496688"/>
        <c:scaling>
          <c:logBase val="10"/>
          <c:orientation val="minMax"/>
          <c:max val="5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Spaciousness (m</a:t>
                </a:r>
                <a:r>
                  <a:rPr lang="en-US" sz="2800" baseline="30000">
                    <a:solidFill>
                      <a:schemeClr val="tx1"/>
                    </a:solidFill>
                  </a:rPr>
                  <a:t>3</a:t>
                </a:r>
                <a:r>
                  <a:rPr lang="en-US" sz="2800">
                    <a:solidFill>
                      <a:schemeClr val="tx1"/>
                    </a:solidFill>
                  </a:rPr>
                  <a:t>/person)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501264"/>
        <c:crossesAt val="1.0000000000000003E-4"/>
        <c:crossBetween val="midCat"/>
      </c:valAx>
      <c:valAx>
        <c:axId val="1387501264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Clean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flow rate</a:t>
                </a:r>
                <a:r>
                  <a:rPr lang="en-US" sz="2800">
                    <a:solidFill>
                      <a:schemeClr val="tx1"/>
                    </a:solidFill>
                  </a:rPr>
                  <a:t> (L/s.p)</a:t>
                </a:r>
              </a:p>
            </c:rich>
          </c:tx>
          <c:layout>
            <c:manualLayout>
              <c:xMode val="edge"/>
              <c:yMode val="edge"/>
              <c:x val="1.3530174092084945E-3"/>
              <c:y val="0.12036727179935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496688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1516392048216196"/>
          <c:y val="4.2237168270632841E-2"/>
          <c:w val="0.18255758576340017"/>
          <c:h val="0.265505381263480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603562563385678"/>
          <c:y val="4.1168311081243129E-2"/>
          <c:w val="0.72512139186585878"/>
          <c:h val="0.75130231116943702"/>
        </c:manualLayout>
      </c:layout>
      <c:scatterChart>
        <c:scatterStyle val="lineMarker"/>
        <c:varyColors val="0"/>
        <c:ser>
          <c:idx val="0"/>
          <c:order val="0"/>
          <c:tx>
            <c:v> qe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EF1F5B"/>
              </a:solidFill>
              <a:ln w="19050">
                <a:solidFill>
                  <a:srgbClr val="EF1F5B"/>
                </a:solidFill>
              </a:ln>
              <a:effectLst/>
            </c:spPr>
          </c:marker>
          <c:xVal>
            <c:numRef>
              <c:f>'Fig S2. ASHRAE 62.1'!$J$5:$J$11</c:f>
              <c:numCache>
                <c:formatCode>0.000</c:formatCode>
                <c:ptCount val="7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30</c:v>
                </c:pt>
                <c:pt idx="5">
                  <c:v>150</c:v>
                </c:pt>
                <c:pt idx="6">
                  <c:v>150</c:v>
                </c:pt>
              </c:numCache>
            </c:numRef>
          </c:xVal>
          <c:yVal>
            <c:numRef>
              <c:f>'Fig S2. ASHRAE 62.1'!$M$5:$M$11</c:f>
              <c:numCache>
                <c:formatCode>0.000</c:formatCode>
                <c:ptCount val="7"/>
                <c:pt idx="0">
                  <c:v>13.35486470435122</c:v>
                </c:pt>
                <c:pt idx="1">
                  <c:v>30.711008608540883</c:v>
                </c:pt>
                <c:pt idx="2">
                  <c:v>60.584832945127225</c:v>
                </c:pt>
                <c:pt idx="3">
                  <c:v>92.483290343276011</c:v>
                </c:pt>
                <c:pt idx="4">
                  <c:v>175.61578520791136</c:v>
                </c:pt>
                <c:pt idx="5">
                  <c:v>881.50238646975606</c:v>
                </c:pt>
                <c:pt idx="6">
                  <c:v>871.25137011484628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F7-419A-AFC6-009EA0E37B98}"/>
            </c:ext>
          </c:extLst>
        </c:ser>
        <c:ser>
          <c:idx val="1"/>
          <c:order val="1"/>
          <c:tx>
            <c:v> qc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5"/>
            <c:spPr>
              <a:solidFill>
                <a:schemeClr val="bg1"/>
              </a:solidFill>
              <a:ln w="19050">
                <a:solidFill>
                  <a:srgbClr val="EF1F5B"/>
                </a:solidFill>
              </a:ln>
              <a:effectLst/>
            </c:spPr>
          </c:marker>
          <c:xVal>
            <c:numRef>
              <c:f>'Fig S2. ASHRAE 62.1'!$J$5:$J$11</c:f>
              <c:numCache>
                <c:formatCode>0.000</c:formatCode>
                <c:ptCount val="7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30</c:v>
                </c:pt>
                <c:pt idx="5">
                  <c:v>150</c:v>
                </c:pt>
                <c:pt idx="6">
                  <c:v>150</c:v>
                </c:pt>
              </c:numCache>
            </c:numRef>
          </c:xVal>
          <c:yVal>
            <c:numRef>
              <c:f>'Fig S2. ASHRAE 62.1'!$R$5:$R$11</c:f>
              <c:numCache>
                <c:formatCode>0.000</c:formatCode>
                <c:ptCount val="7"/>
                <c:pt idx="0">
                  <c:v>3.2166666666666668</c:v>
                </c:pt>
                <c:pt idx="1">
                  <c:v>4.291666666666667</c:v>
                </c:pt>
                <c:pt idx="2">
                  <c:v>7.3833333333333329</c:v>
                </c:pt>
                <c:pt idx="3">
                  <c:v>13.375</c:v>
                </c:pt>
                <c:pt idx="4">
                  <c:v>13.25</c:v>
                </c:pt>
                <c:pt idx="5">
                  <c:v>71.25</c:v>
                </c:pt>
                <c:pt idx="6">
                  <c:v>56.25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F7-419A-AFC6-009EA0E37B98}"/>
            </c:ext>
          </c:extLst>
        </c:ser>
        <c:ser>
          <c:idx val="2"/>
          <c:order val="2"/>
          <c:tx>
            <c:v> qvt</c:v>
          </c:tx>
          <c:spPr>
            <a:ln w="25400" cap="rnd">
              <a:solidFill>
                <a:srgbClr val="EF1F5B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 S2. ASHRAE 62.1'!$J$4:$J$12</c:f>
              <c:numCache>
                <c:formatCode>0.000</c:formatCode>
                <c:ptCount val="9"/>
                <c:pt idx="0" formatCode="General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30</c:v>
                </c:pt>
                <c:pt idx="6">
                  <c:v>150</c:v>
                </c:pt>
                <c:pt idx="7">
                  <c:v>150</c:v>
                </c:pt>
                <c:pt idx="8">
                  <c:v>20000</c:v>
                </c:pt>
              </c:numCache>
            </c:numRef>
          </c:xVal>
          <c:yVal>
            <c:numRef>
              <c:f>'Fig S2. ASHRAE 62.1'!$S$4:$S$12</c:f>
              <c:numCache>
                <c:formatCode>0.000</c:formatCode>
                <c:ptCount val="9"/>
                <c:pt idx="0">
                  <c:v>5.5555555555555554</c:v>
                </c:pt>
                <c:pt idx="1">
                  <c:v>11.111111111111111</c:v>
                </c:pt>
                <c:pt idx="2">
                  <c:v>27.777777777777775</c:v>
                </c:pt>
                <c:pt idx="3">
                  <c:v>55.55555555555555</c:v>
                </c:pt>
                <c:pt idx="4">
                  <c:v>83.333333333333329</c:v>
                </c:pt>
                <c:pt idx="5">
                  <c:v>166.66666666666666</c:v>
                </c:pt>
                <c:pt idx="6">
                  <c:v>833.33333333333326</c:v>
                </c:pt>
                <c:pt idx="7">
                  <c:v>833.33333333333326</c:v>
                </c:pt>
                <c:pt idx="8">
                  <c:v>111111.11111111111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F7-419A-AFC6-009EA0E37B98}"/>
            </c:ext>
          </c:extLst>
        </c:ser>
        <c:ser>
          <c:idx val="12"/>
          <c:order val="3"/>
          <c:tx>
            <c:v>4 hr, equi flow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'Fig S2. ASHRAE 62.1'!$J$89:$J$96</c:f>
              <c:numCache>
                <c:formatCode>0.000</c:formatCode>
                <c:ptCount val="8"/>
                <c:pt idx="0">
                  <c:v>2.5</c:v>
                </c:pt>
                <c:pt idx="1">
                  <c:v>6</c:v>
                </c:pt>
                <c:pt idx="2">
                  <c:v>12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30</c:v>
                </c:pt>
                <c:pt idx="7">
                  <c:v>42.857142857142861</c:v>
                </c:pt>
              </c:numCache>
            </c:numRef>
          </c:xVal>
          <c:yVal>
            <c:numRef>
              <c:f>'Fig S2. ASHRAE 62.1'!$M$89:$M$96</c:f>
              <c:numCache>
                <c:formatCode>0.000</c:formatCode>
                <c:ptCount val="8"/>
                <c:pt idx="0">
                  <c:v>5.3754459347344943</c:v>
                </c:pt>
                <c:pt idx="1">
                  <c:v>5.1076700104685493</c:v>
                </c:pt>
                <c:pt idx="2">
                  <c:v>8.9301622292320424</c:v>
                </c:pt>
                <c:pt idx="3">
                  <c:v>13.314117537615623</c:v>
                </c:pt>
                <c:pt idx="4">
                  <c:v>11.286793245502206</c:v>
                </c:pt>
                <c:pt idx="5">
                  <c:v>14.522015268921178</c:v>
                </c:pt>
                <c:pt idx="6">
                  <c:v>18.638582811862261</c:v>
                </c:pt>
                <c:pt idx="7">
                  <c:v>32.245846018087882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F7-419A-AFC6-009EA0E37B98}"/>
            </c:ext>
          </c:extLst>
        </c:ser>
        <c:ser>
          <c:idx val="13"/>
          <c:order val="4"/>
          <c:tx>
            <c:v>4 hr, ASHRAE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noFill/>
              <a:ln w="25400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'Fig S2. ASHRAE 62.1'!$J$89:$J$96</c:f>
              <c:numCache>
                <c:formatCode>0.000</c:formatCode>
                <c:ptCount val="8"/>
                <c:pt idx="0">
                  <c:v>2.5</c:v>
                </c:pt>
                <c:pt idx="1">
                  <c:v>6</c:v>
                </c:pt>
                <c:pt idx="2">
                  <c:v>12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30</c:v>
                </c:pt>
                <c:pt idx="7">
                  <c:v>42.857142857142861</c:v>
                </c:pt>
              </c:numCache>
            </c:numRef>
          </c:xVal>
          <c:yVal>
            <c:numRef>
              <c:f>'Fig S2. ASHRAE 62.1'!$R$89:$R$96</c:f>
              <c:numCache>
                <c:formatCode>0.000</c:formatCode>
                <c:ptCount val="8"/>
                <c:pt idx="0">
                  <c:v>5.1958333333333329</c:v>
                </c:pt>
                <c:pt idx="1">
                  <c:v>4.6500000000000004</c:v>
                </c:pt>
                <c:pt idx="2">
                  <c:v>8</c:v>
                </c:pt>
                <c:pt idx="3">
                  <c:v>12.175000000000001</c:v>
                </c:pt>
                <c:pt idx="4">
                  <c:v>9.6666666666666679</c:v>
                </c:pt>
                <c:pt idx="5">
                  <c:v>12.966666666666667</c:v>
                </c:pt>
                <c:pt idx="6">
                  <c:v>16.25</c:v>
                </c:pt>
                <c:pt idx="7">
                  <c:v>28.928571428571427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F7-419A-AFC6-009EA0E37B98}"/>
            </c:ext>
          </c:extLst>
        </c:ser>
        <c:ser>
          <c:idx val="14"/>
          <c:order val="5"/>
          <c:tx>
            <c:v>4 hr, Vp-tote</c:v>
          </c:tx>
          <c:spPr>
            <a:ln w="25400" cap="rnd">
              <a:solidFill>
                <a:srgbClr val="843C0C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 S2. ASHRAE 62.1'!$J$88:$J$97</c:f>
              <c:numCache>
                <c:formatCode>0.000</c:formatCode>
                <c:ptCount val="10"/>
                <c:pt idx="0" formatCode="General">
                  <c:v>1</c:v>
                </c:pt>
                <c:pt idx="1">
                  <c:v>2.5</c:v>
                </c:pt>
                <c:pt idx="2">
                  <c:v>6</c:v>
                </c:pt>
                <c:pt idx="3">
                  <c:v>12</c:v>
                </c:pt>
                <c:pt idx="4">
                  <c:v>15</c:v>
                </c:pt>
                <c:pt idx="5">
                  <c:v>20</c:v>
                </c:pt>
                <c:pt idx="6">
                  <c:v>20</c:v>
                </c:pt>
                <c:pt idx="7">
                  <c:v>30</c:v>
                </c:pt>
                <c:pt idx="8">
                  <c:v>42.857142857142861</c:v>
                </c:pt>
                <c:pt idx="9">
                  <c:v>200000</c:v>
                </c:pt>
              </c:numCache>
            </c:numRef>
          </c:xVal>
          <c:yVal>
            <c:numRef>
              <c:f>'Fig S2. ASHRAE 62.1'!$S$88:$S$97</c:f>
              <c:numCache>
                <c:formatCode>0.000</c:formatCode>
                <c:ptCount val="10"/>
                <c:pt idx="0">
                  <c:v>0.1388888888888889</c:v>
                </c:pt>
                <c:pt idx="1">
                  <c:v>0.34722222222222221</c:v>
                </c:pt>
                <c:pt idx="2">
                  <c:v>0.83333333333333326</c:v>
                </c:pt>
                <c:pt idx="3">
                  <c:v>1.6666666666666665</c:v>
                </c:pt>
                <c:pt idx="4">
                  <c:v>2.0833333333333335</c:v>
                </c:pt>
                <c:pt idx="5">
                  <c:v>2.7777777777777777</c:v>
                </c:pt>
                <c:pt idx="6">
                  <c:v>2.7777777777777777</c:v>
                </c:pt>
                <c:pt idx="7">
                  <c:v>4.166666666666667</c:v>
                </c:pt>
                <c:pt idx="8">
                  <c:v>5.9523809523809526</c:v>
                </c:pt>
                <c:pt idx="9">
                  <c:v>27777.777777777777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4F7-419A-AFC6-009EA0E37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496688"/>
        <c:axId val="1387501264"/>
        <c:extLst/>
      </c:scatterChart>
      <c:valAx>
        <c:axId val="1387496688"/>
        <c:scaling>
          <c:logBase val="10"/>
          <c:orientation val="minMax"/>
          <c:max val="5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Spaciousness (m</a:t>
                </a:r>
                <a:r>
                  <a:rPr lang="en-US" sz="2800" baseline="30000">
                    <a:solidFill>
                      <a:schemeClr val="tx1"/>
                    </a:solidFill>
                  </a:rPr>
                  <a:t>3</a:t>
                </a:r>
                <a:r>
                  <a:rPr lang="en-US" sz="2800">
                    <a:solidFill>
                      <a:schemeClr val="tx1"/>
                    </a:solidFill>
                  </a:rPr>
                  <a:t>/person)</a:t>
                </a:r>
              </a:p>
            </c:rich>
          </c:tx>
          <c:layout>
            <c:manualLayout>
              <c:xMode val="edge"/>
              <c:yMode val="edge"/>
              <c:x val="0.34672134733158355"/>
              <c:y val="0.913890164771070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501264"/>
        <c:crossesAt val="1.0000000000000003E-4"/>
        <c:crossBetween val="midCat"/>
      </c:valAx>
      <c:valAx>
        <c:axId val="1387501264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aseline="0">
                    <a:solidFill>
                      <a:schemeClr val="tx1"/>
                    </a:solidFill>
                  </a:rPr>
                  <a:t>C</a:t>
                </a:r>
                <a:r>
                  <a:rPr lang="en-US" sz="2800">
                    <a:solidFill>
                      <a:schemeClr val="tx1"/>
                    </a:solidFill>
                  </a:rPr>
                  <a:t>lean </a:t>
                </a:r>
                <a:r>
                  <a:rPr lang="en-US" altLang="zh-CN" sz="2800">
                    <a:solidFill>
                      <a:schemeClr val="tx1"/>
                    </a:solidFill>
                  </a:rPr>
                  <a:t>flow</a:t>
                </a:r>
                <a:r>
                  <a:rPr lang="en-US" altLang="zh-CN" sz="2800" baseline="0">
                    <a:solidFill>
                      <a:schemeClr val="tx1"/>
                    </a:solidFill>
                  </a:rPr>
                  <a:t> rate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</a:t>
                </a:r>
                <a:r>
                  <a:rPr lang="en-US" sz="2800">
                    <a:solidFill>
                      <a:schemeClr val="tx1"/>
                    </a:solidFill>
                  </a:rPr>
                  <a:t>(L/s.p)</a:t>
                </a:r>
              </a:p>
            </c:rich>
          </c:tx>
          <c:layout>
            <c:manualLayout>
              <c:xMode val="edge"/>
              <c:yMode val="edge"/>
              <c:x val="1.6469466243101447E-2"/>
              <c:y val="0.122427092446777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496688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2289613580630183"/>
          <c:y val="1.4082822980460775E-2"/>
          <c:w val="0.18479878718534071"/>
          <c:h val="0.229510243511227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446144204636924"/>
          <c:y val="3.1285700981148079E-2"/>
          <c:w val="0.72678854379313695"/>
          <c:h val="0.75277030475357243"/>
        </c:manualLayout>
      </c:layout>
      <c:scatterChart>
        <c:scatterStyle val="lineMarker"/>
        <c:varyColors val="0"/>
        <c:ser>
          <c:idx val="3"/>
          <c:order val="0"/>
          <c:tx>
            <c:v> qe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CD6C"/>
              </a:solidFill>
              <a:ln w="19050">
                <a:solidFill>
                  <a:srgbClr val="00CD6C"/>
                </a:solidFill>
              </a:ln>
              <a:effectLst/>
            </c:spPr>
          </c:marker>
          <c:xVal>
            <c:numRef>
              <c:f>'Fig S2. ASHRAE 62.1'!$J$15:$J$23</c:f>
              <c:numCache>
                <c:formatCode>0.000</c:formatCode>
                <c:ptCount val="9"/>
                <c:pt idx="0">
                  <c:v>6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60</c:v>
                </c:pt>
              </c:numCache>
            </c:numRef>
          </c:xVal>
          <c:yVal>
            <c:numRef>
              <c:f>'Fig S2. ASHRAE 62.1'!$M$15:$M$23</c:f>
              <c:numCache>
                <c:formatCode>0.000</c:formatCode>
                <c:ptCount val="9"/>
                <c:pt idx="0">
                  <c:v>11.146917255234825</c:v>
                </c:pt>
                <c:pt idx="1">
                  <c:v>13.156376733746841</c:v>
                </c:pt>
                <c:pt idx="2">
                  <c:v>15.507883073508953</c:v>
                </c:pt>
                <c:pt idx="3">
                  <c:v>22.302459152319962</c:v>
                </c:pt>
                <c:pt idx="4">
                  <c:v>25.426986936306609</c:v>
                </c:pt>
                <c:pt idx="5">
                  <c:v>26.637490049602629</c:v>
                </c:pt>
                <c:pt idx="6">
                  <c:v>26.637490049602629</c:v>
                </c:pt>
                <c:pt idx="7">
                  <c:v>26.637490049602629</c:v>
                </c:pt>
                <c:pt idx="8">
                  <c:v>83.578289967222901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94-4DC8-9866-857435EED721}"/>
            </c:ext>
          </c:extLst>
        </c:ser>
        <c:ser>
          <c:idx val="4"/>
          <c:order val="1"/>
          <c:tx>
            <c:v> qc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8"/>
            <c:spPr>
              <a:noFill/>
              <a:ln w="19050">
                <a:solidFill>
                  <a:srgbClr val="00CD6C"/>
                </a:solidFill>
              </a:ln>
              <a:effectLst/>
            </c:spPr>
          </c:marker>
          <c:xVal>
            <c:numRef>
              <c:f>'Fig S2. ASHRAE 62.1'!$J$15:$J$23</c:f>
              <c:numCache>
                <c:formatCode>0.000</c:formatCode>
                <c:ptCount val="9"/>
                <c:pt idx="0">
                  <c:v>6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60</c:v>
                </c:pt>
              </c:numCache>
            </c:numRef>
          </c:xVal>
          <c:yVal>
            <c:numRef>
              <c:f>'Fig S2. ASHRAE 62.1'!$R$15:$R$23</c:f>
              <c:numCache>
                <c:formatCode>0.000</c:formatCode>
                <c:ptCount val="9"/>
                <c:pt idx="0">
                  <c:v>5.95</c:v>
                </c:pt>
                <c:pt idx="1">
                  <c:v>6.4874999999999998</c:v>
                </c:pt>
                <c:pt idx="2">
                  <c:v>6.0833333333333339</c:v>
                </c:pt>
                <c:pt idx="3">
                  <c:v>7.875</c:v>
                </c:pt>
                <c:pt idx="4">
                  <c:v>11.875</c:v>
                </c:pt>
                <c:pt idx="5">
                  <c:v>13.375</c:v>
                </c:pt>
                <c:pt idx="6">
                  <c:v>13.375</c:v>
                </c:pt>
                <c:pt idx="7">
                  <c:v>13.375</c:v>
                </c:pt>
                <c:pt idx="8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94-4DC8-9866-857435EED721}"/>
            </c:ext>
          </c:extLst>
        </c:ser>
        <c:ser>
          <c:idx val="5"/>
          <c:order val="2"/>
          <c:tx>
            <c:v> qvt</c:v>
          </c:tx>
          <c:spPr>
            <a:ln w="25400" cap="rnd">
              <a:solidFill>
                <a:srgbClr val="00CD6C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5400" cap="rnd">
                <a:solidFill>
                  <a:srgbClr val="00CD6C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9294-4DC8-9866-857435EED721}"/>
              </c:ext>
            </c:extLst>
          </c:dPt>
          <c:xVal>
            <c:numRef>
              <c:f>'Fig S2. ASHRAE 62.1'!$J$14:$J$24</c:f>
              <c:numCache>
                <c:formatCode>0.000</c:formatCode>
                <c:ptCount val="11"/>
                <c:pt idx="0" formatCode="General">
                  <c:v>1</c:v>
                </c:pt>
                <c:pt idx="1">
                  <c:v>6</c:v>
                </c:pt>
                <c:pt idx="2">
                  <c:v>7.5</c:v>
                </c:pt>
                <c:pt idx="3">
                  <c:v>10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60</c:v>
                </c:pt>
                <c:pt idx="10">
                  <c:v>20000</c:v>
                </c:pt>
              </c:numCache>
            </c:numRef>
          </c:xVal>
          <c:yVal>
            <c:numRef>
              <c:f>'Fig S2. ASHRAE 62.1'!$S$14:$S$24</c:f>
              <c:numCache>
                <c:formatCode>0.000</c:formatCode>
                <c:ptCount val="11"/>
                <c:pt idx="0">
                  <c:v>1.1111111111111112</c:v>
                </c:pt>
                <c:pt idx="1">
                  <c:v>6.6666666666666661</c:v>
                </c:pt>
                <c:pt idx="2">
                  <c:v>8.3333333333333339</c:v>
                </c:pt>
                <c:pt idx="3">
                  <c:v>11.111111111111111</c:v>
                </c:pt>
                <c:pt idx="4">
                  <c:v>16.666666666666668</c:v>
                </c:pt>
                <c:pt idx="5">
                  <c:v>16.666666666666668</c:v>
                </c:pt>
                <c:pt idx="6">
                  <c:v>16.666666666666668</c:v>
                </c:pt>
                <c:pt idx="7">
                  <c:v>16.666666666666668</c:v>
                </c:pt>
                <c:pt idx="8">
                  <c:v>16.666666666666668</c:v>
                </c:pt>
                <c:pt idx="9">
                  <c:v>66.666666666666671</c:v>
                </c:pt>
                <c:pt idx="10">
                  <c:v>22222.222222222223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94-4DC8-9866-857435EED721}"/>
            </c:ext>
          </c:extLst>
        </c:ser>
        <c:ser>
          <c:idx val="15"/>
          <c:order val="3"/>
          <c:tx>
            <c:v>qe-8 hours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'Fig S2. ASHRAE 62.1'!$J$100:$J$103</c:f>
              <c:numCache>
                <c:formatCode>0.000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42.857142857142861</c:v>
                </c:pt>
                <c:pt idx="3">
                  <c:v>60</c:v>
                </c:pt>
              </c:numCache>
            </c:numRef>
          </c:xVal>
          <c:yVal>
            <c:numRef>
              <c:f>'Fig S2. ASHRAE 62.1'!$M$100:$M$103</c:f>
              <c:numCache>
                <c:formatCode>0.000</c:formatCode>
                <c:ptCount val="4"/>
                <c:pt idx="0">
                  <c:v>8.4327193847103619</c:v>
                </c:pt>
                <c:pt idx="1">
                  <c:v>14.380542405458975</c:v>
                </c:pt>
                <c:pt idx="2">
                  <c:v>30.497365968621615</c:v>
                </c:pt>
                <c:pt idx="3">
                  <c:v>26.281344015140821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294-4DC8-9866-857435EED721}"/>
            </c:ext>
          </c:extLst>
        </c:ser>
        <c:ser>
          <c:idx val="16"/>
          <c:order val="4"/>
          <c:tx>
            <c:strRef>
              <c:f>'Fig S2. ASHRAE 62.1'!$R$98</c:f>
              <c:strCache>
                <c:ptCount val="1"/>
                <c:pt idx="0">
                  <c:v>qc-tote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S2. ASHRAE 62.1'!$J$100:$J$103</c:f>
              <c:numCache>
                <c:formatCode>0.000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42.857142857142861</c:v>
                </c:pt>
                <c:pt idx="3">
                  <c:v>60</c:v>
                </c:pt>
              </c:numCache>
            </c:numRef>
          </c:xVal>
          <c:yVal>
            <c:numRef>
              <c:f>'Fig S2. ASHRAE 62.1'!$R$100:$R$103</c:f>
              <c:numCache>
                <c:formatCode>0.000</c:formatCode>
                <c:ptCount val="4"/>
                <c:pt idx="0">
                  <c:v>7.875</c:v>
                </c:pt>
                <c:pt idx="1">
                  <c:v>13.25</c:v>
                </c:pt>
                <c:pt idx="2">
                  <c:v>28.928571428571473</c:v>
                </c:pt>
                <c:pt idx="3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294-4DC8-9866-857435EED721}"/>
            </c:ext>
          </c:extLst>
        </c:ser>
        <c:ser>
          <c:idx val="17"/>
          <c:order val="5"/>
          <c:tx>
            <c:strRef>
              <c:f>'Fig S2. ASHRAE 62.1'!$S$98</c:f>
              <c:strCache>
                <c:ptCount val="1"/>
                <c:pt idx="0">
                  <c:v>Vp-tote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 S2. ASHRAE 62.1'!$J$99:$J$104</c:f>
              <c:numCache>
                <c:formatCode>0.000</c:formatCode>
                <c:ptCount val="6"/>
                <c:pt idx="0" formatCode="General">
                  <c:v>1</c:v>
                </c:pt>
                <c:pt idx="1">
                  <c:v>15</c:v>
                </c:pt>
                <c:pt idx="2">
                  <c:v>30</c:v>
                </c:pt>
                <c:pt idx="3">
                  <c:v>42.857142857142861</c:v>
                </c:pt>
                <c:pt idx="4">
                  <c:v>60</c:v>
                </c:pt>
                <c:pt idx="5" formatCode="General">
                  <c:v>200000</c:v>
                </c:pt>
              </c:numCache>
            </c:numRef>
          </c:xVal>
          <c:yVal>
            <c:numRef>
              <c:f>'Fig S2. ASHRAE 62.1'!$S$99:$S$104</c:f>
              <c:numCache>
                <c:formatCode>0.000</c:formatCode>
                <c:ptCount val="6"/>
                <c:pt idx="0">
                  <c:v>6.9444444444444448E-2</c:v>
                </c:pt>
                <c:pt idx="1">
                  <c:v>1.0416666666666667</c:v>
                </c:pt>
                <c:pt idx="2">
                  <c:v>2.0833333333333335</c:v>
                </c:pt>
                <c:pt idx="3">
                  <c:v>2.9761904761904763</c:v>
                </c:pt>
                <c:pt idx="4">
                  <c:v>4.166666666666667</c:v>
                </c:pt>
                <c:pt idx="5">
                  <c:v>13888.888888888889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294-4DC8-9866-857435EED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496688"/>
        <c:axId val="1387501264"/>
        <c:extLst/>
      </c:scatterChart>
      <c:valAx>
        <c:axId val="1387496688"/>
        <c:scaling>
          <c:logBase val="10"/>
          <c:orientation val="minMax"/>
          <c:max val="5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Spaciousness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</a:t>
                </a:r>
                <a:r>
                  <a:rPr lang="en-US" sz="2800">
                    <a:solidFill>
                      <a:schemeClr val="tx1"/>
                    </a:solidFill>
                  </a:rPr>
                  <a:t>(m</a:t>
                </a:r>
                <a:r>
                  <a:rPr lang="en-US" sz="2800" baseline="30000">
                    <a:solidFill>
                      <a:schemeClr val="tx1"/>
                    </a:solidFill>
                  </a:rPr>
                  <a:t>3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/</a:t>
                </a:r>
                <a:r>
                  <a:rPr lang="en-US" sz="2800">
                    <a:solidFill>
                      <a:schemeClr val="tx1"/>
                    </a:solidFill>
                  </a:rPr>
                  <a:t>person)</a:t>
                </a:r>
              </a:p>
            </c:rich>
          </c:tx>
          <c:layout>
            <c:manualLayout>
              <c:xMode val="edge"/>
              <c:yMode val="edge"/>
              <c:x val="0.31681345387382132"/>
              <c:y val="0.91316108923884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501264"/>
        <c:crossesAt val="1.0000000000000003E-4"/>
        <c:crossBetween val="midCat"/>
      </c:valAx>
      <c:valAx>
        <c:axId val="1387501264"/>
        <c:scaling>
          <c:logBase val="10"/>
          <c:orientation val="minMax"/>
          <c:max val="1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aseline="0">
                    <a:solidFill>
                      <a:schemeClr val="tx1"/>
                    </a:solidFill>
                  </a:rPr>
                  <a:t>C</a:t>
                </a:r>
                <a:r>
                  <a:rPr lang="en-US" sz="2800">
                    <a:solidFill>
                      <a:schemeClr val="tx1"/>
                    </a:solidFill>
                  </a:rPr>
                  <a:t>lean flow</a:t>
                </a:r>
                <a:r>
                  <a:rPr lang="en-US" sz="2800" baseline="0">
                    <a:solidFill>
                      <a:schemeClr val="tx1"/>
                    </a:solidFill>
                  </a:rPr>
                  <a:t> rate </a:t>
                </a:r>
                <a:r>
                  <a:rPr lang="en-US" sz="2800">
                    <a:solidFill>
                      <a:schemeClr val="tx1"/>
                    </a:solidFill>
                  </a:rPr>
                  <a:t>(L/s.p)</a:t>
                </a:r>
              </a:p>
            </c:rich>
          </c:tx>
          <c:layout>
            <c:manualLayout>
              <c:xMode val="edge"/>
              <c:yMode val="edge"/>
              <c:x val="1.8463421714680711E-2"/>
              <c:y val="0.128329505686789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496688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3422438514630112"/>
          <c:y val="3.254502041411491E-2"/>
          <c:w val="0.18462442618865904"/>
          <c:h val="0.236598433751782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8112180421892"/>
          <c:y val="3.9560185185185184E-2"/>
          <c:w val="0.71472890541460099"/>
          <c:h val="0.75167268153980749"/>
        </c:manualLayout>
      </c:layout>
      <c:scatterChart>
        <c:scatterStyle val="lineMarker"/>
        <c:varyColors val="0"/>
        <c:ser>
          <c:idx val="8"/>
          <c:order val="0"/>
          <c:tx>
            <c:v>84 occupancy categories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25400">
                <a:solidFill>
                  <a:srgbClr val="FF0000"/>
                </a:solidFill>
              </a:ln>
              <a:effectLst/>
            </c:spPr>
          </c:marker>
          <c:xVal>
            <c:numRef>
              <c:f>('Fig S2. ASHRAE 62.1'!$J$5:$J$11,'Fig S2. ASHRAE 62.1'!$J$15:$J$23,'Fig S2. ASHRAE 62.1'!$J$27:$J$65,'Fig S2. ASHRAE 62.1'!$J$69:$J$85,'Fig S2. ASHRAE 62.1'!$J$89:$J$96,'Fig S2. ASHRAE 62.1'!$J$100:$J$103)</c:f>
              <c:numCache>
                <c:formatCode>0.000</c:formatCode>
                <c:ptCount val="8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30</c:v>
                </c:pt>
                <c:pt idx="5">
                  <c:v>150</c:v>
                </c:pt>
                <c:pt idx="6">
                  <c:v>150</c:v>
                </c:pt>
                <c:pt idx="7">
                  <c:v>6</c:v>
                </c:pt>
                <c:pt idx="8">
                  <c:v>7.5</c:v>
                </c:pt>
                <c:pt idx="9">
                  <c:v>10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60</c:v>
                </c:pt>
                <c:pt idx="16" formatCode="0.0">
                  <c:v>2</c:v>
                </c:pt>
                <c:pt idx="17" formatCode="0.0">
                  <c:v>3</c:v>
                </c:pt>
                <c:pt idx="18" formatCode="0.0">
                  <c:v>3</c:v>
                </c:pt>
                <c:pt idx="19" formatCode="0.0">
                  <c:v>3</c:v>
                </c:pt>
                <c:pt idx="20" formatCode="0.0">
                  <c:v>3</c:v>
                </c:pt>
                <c:pt idx="21" formatCode="0.0">
                  <c:v>4.2857142857142856</c:v>
                </c:pt>
                <c:pt idx="22" formatCode="0.0">
                  <c:v>4.6153846153846159</c:v>
                </c:pt>
                <c:pt idx="23" formatCode="0.0">
                  <c:v>6</c:v>
                </c:pt>
                <c:pt idx="24" formatCode="0.0">
                  <c:v>7.5</c:v>
                </c:pt>
                <c:pt idx="25" formatCode="0.0">
                  <c:v>7.5</c:v>
                </c:pt>
                <c:pt idx="26" formatCode="0.0">
                  <c:v>8.5714285714285712</c:v>
                </c:pt>
                <c:pt idx="27" formatCode="0.0">
                  <c:v>8.5714285714285712</c:v>
                </c:pt>
                <c:pt idx="28" formatCode="0.0">
                  <c:v>12</c:v>
                </c:pt>
                <c:pt idx="29" formatCode="0.0">
                  <c:v>12</c:v>
                </c:pt>
                <c:pt idx="30" formatCode="0.0">
                  <c:v>12</c:v>
                </c:pt>
                <c:pt idx="31" formatCode="0.0">
                  <c:v>12</c:v>
                </c:pt>
                <c:pt idx="32" formatCode="0.0">
                  <c:v>12</c:v>
                </c:pt>
                <c:pt idx="33" formatCode="0.0">
                  <c:v>12</c:v>
                </c:pt>
                <c:pt idx="34" formatCode="0.0">
                  <c:v>12</c:v>
                </c:pt>
                <c:pt idx="35" formatCode="0.0">
                  <c:v>15</c:v>
                </c:pt>
                <c:pt idx="36" formatCode="0.0">
                  <c:v>15</c:v>
                </c:pt>
                <c:pt idx="37" formatCode="0.0">
                  <c:v>15</c:v>
                </c:pt>
                <c:pt idx="38" formatCode="0.0">
                  <c:v>15</c:v>
                </c:pt>
                <c:pt idx="39" formatCode="0.0">
                  <c:v>15</c:v>
                </c:pt>
                <c:pt idx="40" formatCode="0.0">
                  <c:v>15</c:v>
                </c:pt>
                <c:pt idx="41" formatCode="0.0">
                  <c:v>15</c:v>
                </c:pt>
                <c:pt idx="42" formatCode="0.0">
                  <c:v>15</c:v>
                </c:pt>
                <c:pt idx="43" formatCode="0.0">
                  <c:v>15</c:v>
                </c:pt>
                <c:pt idx="44" formatCode="0.0">
                  <c:v>20</c:v>
                </c:pt>
                <c:pt idx="45" formatCode="0.0">
                  <c:v>30</c:v>
                </c:pt>
                <c:pt idx="46" formatCode="0.0">
                  <c:v>30</c:v>
                </c:pt>
                <c:pt idx="47" formatCode="0.0">
                  <c:v>30</c:v>
                </c:pt>
                <c:pt idx="48" formatCode="0.0">
                  <c:v>30</c:v>
                </c:pt>
                <c:pt idx="49" formatCode="0.0">
                  <c:v>30</c:v>
                </c:pt>
                <c:pt idx="50" formatCode="0.0">
                  <c:v>30</c:v>
                </c:pt>
                <c:pt idx="51" formatCode="0.0">
                  <c:v>30</c:v>
                </c:pt>
                <c:pt idx="52" formatCode="0.0">
                  <c:v>37.5</c:v>
                </c:pt>
                <c:pt idx="53" formatCode="0.0">
                  <c:v>42.857142857142861</c:v>
                </c:pt>
                <c:pt idx="54" formatCode="0.0">
                  <c:v>150</c:v>
                </c:pt>
                <c:pt idx="55" formatCode="0.0">
                  <c:v>2</c:v>
                </c:pt>
                <c:pt idx="56" formatCode="0.0">
                  <c:v>2</c:v>
                </c:pt>
                <c:pt idx="57" formatCode="0.0">
                  <c:v>2.5</c:v>
                </c:pt>
                <c:pt idx="58" formatCode="0.0">
                  <c:v>2.5</c:v>
                </c:pt>
                <c:pt idx="59" formatCode="0.0">
                  <c:v>3</c:v>
                </c:pt>
                <c:pt idx="60" formatCode="0.0">
                  <c:v>4.2857142857142856</c:v>
                </c:pt>
                <c:pt idx="61" formatCode="0.0">
                  <c:v>4.2857142857142856</c:v>
                </c:pt>
                <c:pt idx="62" formatCode="0.0">
                  <c:v>6</c:v>
                </c:pt>
                <c:pt idx="63" formatCode="0.0">
                  <c:v>7.5</c:v>
                </c:pt>
                <c:pt idx="64" formatCode="0.0">
                  <c:v>7.5</c:v>
                </c:pt>
                <c:pt idx="65" formatCode="0.0">
                  <c:v>10</c:v>
                </c:pt>
                <c:pt idx="66" formatCode="0.0">
                  <c:v>12</c:v>
                </c:pt>
                <c:pt idx="67" formatCode="0.0">
                  <c:v>12</c:v>
                </c:pt>
                <c:pt idx="68" formatCode="0.0">
                  <c:v>12</c:v>
                </c:pt>
                <c:pt idx="69" formatCode="0.0">
                  <c:v>15</c:v>
                </c:pt>
                <c:pt idx="70" formatCode="0.0">
                  <c:v>42.857142857142861</c:v>
                </c:pt>
                <c:pt idx="71" formatCode="0.0">
                  <c:v>75</c:v>
                </c:pt>
                <c:pt idx="72">
                  <c:v>2.5</c:v>
                </c:pt>
                <c:pt idx="73">
                  <c:v>6</c:v>
                </c:pt>
                <c:pt idx="74">
                  <c:v>12</c:v>
                </c:pt>
                <c:pt idx="75">
                  <c:v>15</c:v>
                </c:pt>
                <c:pt idx="76">
                  <c:v>20</c:v>
                </c:pt>
                <c:pt idx="77">
                  <c:v>20</c:v>
                </c:pt>
                <c:pt idx="78">
                  <c:v>30</c:v>
                </c:pt>
                <c:pt idx="79">
                  <c:v>42.857142857142861</c:v>
                </c:pt>
                <c:pt idx="80">
                  <c:v>15</c:v>
                </c:pt>
                <c:pt idx="81">
                  <c:v>30</c:v>
                </c:pt>
                <c:pt idx="82">
                  <c:v>42.857142857142861</c:v>
                </c:pt>
                <c:pt idx="83">
                  <c:v>60</c:v>
                </c:pt>
              </c:numCache>
            </c:numRef>
          </c:xVal>
          <c:yVal>
            <c:numRef>
              <c:f>('Fig S2. ASHRAE 62.1'!$S$5:$S$11,'Fig S2. ASHRAE 62.1'!$S$15:$S$23,'Fig S2. ASHRAE 62.1'!$S$27:$S$65,'Fig S2. ASHRAE 62.1'!$S$69:$S$85,'Fig S2. ASHRAE 62.1'!$S$89:$S$96,'Fig S2. ASHRAE 62.1'!$S$100:$S$103)</c:f>
              <c:numCache>
                <c:formatCode>0.000</c:formatCode>
                <c:ptCount val="84"/>
                <c:pt idx="0">
                  <c:v>11.111111111111111</c:v>
                </c:pt>
                <c:pt idx="1">
                  <c:v>27.777777777777775</c:v>
                </c:pt>
                <c:pt idx="2">
                  <c:v>55.55555555555555</c:v>
                </c:pt>
                <c:pt idx="3">
                  <c:v>83.333333333333329</c:v>
                </c:pt>
                <c:pt idx="4">
                  <c:v>166.66666666666666</c:v>
                </c:pt>
                <c:pt idx="5">
                  <c:v>833.33333333333326</c:v>
                </c:pt>
                <c:pt idx="6">
                  <c:v>833.33333333333326</c:v>
                </c:pt>
                <c:pt idx="7">
                  <c:v>6.6666666666666661</c:v>
                </c:pt>
                <c:pt idx="8">
                  <c:v>8.3333333333333339</c:v>
                </c:pt>
                <c:pt idx="9">
                  <c:v>11.111111111111111</c:v>
                </c:pt>
                <c:pt idx="10">
                  <c:v>16.666666666666668</c:v>
                </c:pt>
                <c:pt idx="11">
                  <c:v>16.666666666666668</c:v>
                </c:pt>
                <c:pt idx="12">
                  <c:v>16.666666666666668</c:v>
                </c:pt>
                <c:pt idx="13">
                  <c:v>16.666666666666668</c:v>
                </c:pt>
                <c:pt idx="14">
                  <c:v>16.666666666666668</c:v>
                </c:pt>
                <c:pt idx="15">
                  <c:v>66.666666666666671</c:v>
                </c:pt>
                <c:pt idx="16">
                  <c:v>1.1111111111111112</c:v>
                </c:pt>
                <c:pt idx="17">
                  <c:v>1.6666666666666665</c:v>
                </c:pt>
                <c:pt idx="18">
                  <c:v>1.6666666666666665</c:v>
                </c:pt>
                <c:pt idx="19">
                  <c:v>1.6666666666666665</c:v>
                </c:pt>
                <c:pt idx="20">
                  <c:v>1.6666666666666665</c:v>
                </c:pt>
                <c:pt idx="21">
                  <c:v>2.3809523809523809</c:v>
                </c:pt>
                <c:pt idx="22">
                  <c:v>2.5641025641025643</c:v>
                </c:pt>
                <c:pt idx="23">
                  <c:v>3.333333333333333</c:v>
                </c:pt>
                <c:pt idx="24">
                  <c:v>4.166666666666667</c:v>
                </c:pt>
                <c:pt idx="25">
                  <c:v>4.166666666666667</c:v>
                </c:pt>
                <c:pt idx="26">
                  <c:v>4.7619047619047619</c:v>
                </c:pt>
                <c:pt idx="27">
                  <c:v>4.7619047619047619</c:v>
                </c:pt>
                <c:pt idx="28">
                  <c:v>6.6666666666666661</c:v>
                </c:pt>
                <c:pt idx="29">
                  <c:v>6.6666666666666661</c:v>
                </c:pt>
                <c:pt idx="30">
                  <c:v>6.6666666666666661</c:v>
                </c:pt>
                <c:pt idx="31">
                  <c:v>6.6666666666666661</c:v>
                </c:pt>
                <c:pt idx="32">
                  <c:v>6.6666666666666661</c:v>
                </c:pt>
                <c:pt idx="33">
                  <c:v>6.6666666666666661</c:v>
                </c:pt>
                <c:pt idx="34">
                  <c:v>6.6666666666666661</c:v>
                </c:pt>
                <c:pt idx="35">
                  <c:v>8.3333333333333339</c:v>
                </c:pt>
                <c:pt idx="36">
                  <c:v>8.3333333333333339</c:v>
                </c:pt>
                <c:pt idx="37">
                  <c:v>8.3333333333333339</c:v>
                </c:pt>
                <c:pt idx="38">
                  <c:v>8.3333333333333339</c:v>
                </c:pt>
                <c:pt idx="39">
                  <c:v>8.3333333333333339</c:v>
                </c:pt>
                <c:pt idx="40">
                  <c:v>8.3333333333333339</c:v>
                </c:pt>
                <c:pt idx="41">
                  <c:v>8.3333333333333339</c:v>
                </c:pt>
                <c:pt idx="42">
                  <c:v>8.3333333333333339</c:v>
                </c:pt>
                <c:pt idx="43">
                  <c:v>8.3333333333333339</c:v>
                </c:pt>
                <c:pt idx="44">
                  <c:v>11.111111111111111</c:v>
                </c:pt>
                <c:pt idx="45">
                  <c:v>16.666666666666668</c:v>
                </c:pt>
                <c:pt idx="46">
                  <c:v>16.666666666666668</c:v>
                </c:pt>
                <c:pt idx="47">
                  <c:v>16.666666666666668</c:v>
                </c:pt>
                <c:pt idx="48">
                  <c:v>16.666666666666668</c:v>
                </c:pt>
                <c:pt idx="49">
                  <c:v>16.666666666666668</c:v>
                </c:pt>
                <c:pt idx="50">
                  <c:v>16.666666666666668</c:v>
                </c:pt>
                <c:pt idx="51">
                  <c:v>16.666666666666668</c:v>
                </c:pt>
                <c:pt idx="52">
                  <c:v>20.833333333333332</c:v>
                </c:pt>
                <c:pt idx="53">
                  <c:v>23.80952380952381</c:v>
                </c:pt>
                <c:pt idx="54">
                  <c:v>83.333333333333329</c:v>
                </c:pt>
                <c:pt idx="55">
                  <c:v>0.55555555555555558</c:v>
                </c:pt>
                <c:pt idx="56">
                  <c:v>0.55555555555555558</c:v>
                </c:pt>
                <c:pt idx="57">
                  <c:v>0.69444444444444442</c:v>
                </c:pt>
                <c:pt idx="58">
                  <c:v>0.69444444444444442</c:v>
                </c:pt>
                <c:pt idx="59">
                  <c:v>0.83333333333333326</c:v>
                </c:pt>
                <c:pt idx="60">
                  <c:v>1.1904761904761905</c:v>
                </c:pt>
                <c:pt idx="61">
                  <c:v>1.1904761904761905</c:v>
                </c:pt>
                <c:pt idx="62">
                  <c:v>1.6666666666666665</c:v>
                </c:pt>
                <c:pt idx="63">
                  <c:v>2.0833333333333335</c:v>
                </c:pt>
                <c:pt idx="64">
                  <c:v>2.0833333333333335</c:v>
                </c:pt>
                <c:pt idx="65">
                  <c:v>2.7777777777777777</c:v>
                </c:pt>
                <c:pt idx="66">
                  <c:v>3.333333333333333</c:v>
                </c:pt>
                <c:pt idx="67">
                  <c:v>3.333333333333333</c:v>
                </c:pt>
                <c:pt idx="68">
                  <c:v>3.333333333333333</c:v>
                </c:pt>
                <c:pt idx="69">
                  <c:v>4.166666666666667</c:v>
                </c:pt>
                <c:pt idx="70">
                  <c:v>11.904761904761905</c:v>
                </c:pt>
                <c:pt idx="71">
                  <c:v>20.833333333333332</c:v>
                </c:pt>
                <c:pt idx="72">
                  <c:v>0.34722222222222221</c:v>
                </c:pt>
                <c:pt idx="73">
                  <c:v>0.83333333333333326</c:v>
                </c:pt>
                <c:pt idx="74">
                  <c:v>1.6666666666666665</c:v>
                </c:pt>
                <c:pt idx="75">
                  <c:v>2.0833333333333335</c:v>
                </c:pt>
                <c:pt idx="76">
                  <c:v>2.7777777777777777</c:v>
                </c:pt>
                <c:pt idx="77">
                  <c:v>2.7777777777777777</c:v>
                </c:pt>
                <c:pt idx="78">
                  <c:v>4.166666666666667</c:v>
                </c:pt>
                <c:pt idx="79">
                  <c:v>5.9523809523809526</c:v>
                </c:pt>
                <c:pt idx="80">
                  <c:v>1.0416666666666667</c:v>
                </c:pt>
                <c:pt idx="81">
                  <c:v>2.0833333333333335</c:v>
                </c:pt>
                <c:pt idx="82">
                  <c:v>2.9761904761904763</c:v>
                </c:pt>
                <c:pt idx="83">
                  <c:v>4.166666666666667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AF-481F-ACF5-ECA9E756F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045871"/>
        <c:axId val="794054031"/>
      </c:scatterChart>
      <c:valAx>
        <c:axId val="794045871"/>
        <c:scaling>
          <c:logBase val="10"/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Spaciousness (m</a:t>
                </a:r>
                <a:r>
                  <a:rPr lang="en-US" sz="2800" baseline="30000">
                    <a:solidFill>
                      <a:schemeClr val="tx1"/>
                    </a:solidFill>
                  </a:rPr>
                  <a:t>3</a:t>
                </a:r>
                <a:r>
                  <a:rPr lang="en-US" sz="2800">
                    <a:solidFill>
                      <a:schemeClr val="tx1"/>
                    </a:solidFill>
                  </a:rPr>
                  <a:t>/p</a:t>
                </a:r>
                <a:r>
                  <a:rPr lang="en-US" altLang="zh-CN" sz="2800">
                    <a:solidFill>
                      <a:schemeClr val="tx1"/>
                    </a:solidFill>
                  </a:rPr>
                  <a:t>erson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8885851074171285"/>
              <c:y val="0.913935185185185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054031"/>
        <c:crosses val="autoZero"/>
        <c:crossBetween val="midCat"/>
        <c:majorUnit val="10"/>
      </c:valAx>
      <c:valAx>
        <c:axId val="794054031"/>
        <c:scaling>
          <c:logBase val="10"/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VTAC (L/s.p)</a:t>
                </a:r>
              </a:p>
            </c:rich>
          </c:tx>
          <c:layout>
            <c:manualLayout>
              <c:xMode val="edge"/>
              <c:yMode val="edge"/>
              <c:x val="2.7059638378536015E-2"/>
              <c:y val="0.259983048993875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0458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805227471566052"/>
          <c:y val="1.8513779527559057E-2"/>
          <c:w val="0.45897491980169147"/>
          <c:h val="0.148157626130067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70241567026343"/>
          <c:y val="7.3814713896457759E-2"/>
          <c:w val="0.77819116360454943"/>
          <c:h val="0.72691036016331301"/>
        </c:manualLayout>
      </c:layout>
      <c:scatterChart>
        <c:scatterStyle val="lineMarker"/>
        <c:varyColors val="0"/>
        <c:ser>
          <c:idx val="2"/>
          <c:order val="0"/>
          <c:tx>
            <c:v>VATC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trendline>
            <c:spPr>
              <a:ln w="53975" cap="rnd">
                <a:solidFill>
                  <a:srgbClr val="4472C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 S3. ASHRAE 241'!$J$4:$J$32</c:f>
              <c:numCache>
                <c:formatCode>0.0</c:formatCode>
                <c:ptCount val="29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42.857142857142854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6</c:v>
                </c:pt>
                <c:pt idx="14">
                  <c:v>8.5714285714285712</c:v>
                </c:pt>
                <c:pt idx="15">
                  <c:v>2</c:v>
                </c:pt>
                <c:pt idx="16">
                  <c:v>2</c:v>
                </c:pt>
                <c:pt idx="17">
                  <c:v>42.857142857142854</c:v>
                </c:pt>
                <c:pt idx="18">
                  <c:v>7.5</c:v>
                </c:pt>
                <c:pt idx="19">
                  <c:v>60</c:v>
                </c:pt>
                <c:pt idx="20">
                  <c:v>2.5</c:v>
                </c:pt>
                <c:pt idx="21">
                  <c:v>10</c:v>
                </c:pt>
                <c:pt idx="22">
                  <c:v>100</c:v>
                </c:pt>
                <c:pt idx="23">
                  <c:v>4.2857142857142856</c:v>
                </c:pt>
                <c:pt idx="24">
                  <c:v>20</c:v>
                </c:pt>
                <c:pt idx="25">
                  <c:v>42.857142857142854</c:v>
                </c:pt>
                <c:pt idx="26">
                  <c:v>2</c:v>
                </c:pt>
                <c:pt idx="27">
                  <c:v>3</c:v>
                </c:pt>
                <c:pt idx="28">
                  <c:v>150</c:v>
                </c:pt>
              </c:numCache>
            </c:numRef>
          </c:xVal>
          <c:yVal>
            <c:numRef>
              <c:f>'Fig S3. ASHRAE 241'!$S$4:$S$32</c:f>
              <c:numCache>
                <c:formatCode>0.000</c:formatCode>
                <c:ptCount val="29"/>
                <c:pt idx="0">
                  <c:v>0.55555555555555558</c:v>
                </c:pt>
                <c:pt idx="1">
                  <c:v>1.6666666666666665</c:v>
                </c:pt>
                <c:pt idx="2">
                  <c:v>0.69444444444444442</c:v>
                </c:pt>
                <c:pt idx="3">
                  <c:v>0.27777777777777779</c:v>
                </c:pt>
                <c:pt idx="4">
                  <c:v>0.83333333333333326</c:v>
                </c:pt>
                <c:pt idx="5">
                  <c:v>1.3888888888888888</c:v>
                </c:pt>
                <c:pt idx="6">
                  <c:v>1.6666666666666665</c:v>
                </c:pt>
                <c:pt idx="7">
                  <c:v>1.6666666666666665</c:v>
                </c:pt>
                <c:pt idx="8">
                  <c:v>23.809523809523807</c:v>
                </c:pt>
                <c:pt idx="9">
                  <c:v>8.3333333333333339</c:v>
                </c:pt>
                <c:pt idx="10">
                  <c:v>8.3333333333333339</c:v>
                </c:pt>
                <c:pt idx="11">
                  <c:v>1.0416666666666667</c:v>
                </c:pt>
                <c:pt idx="12">
                  <c:v>1.0416666666666667</c:v>
                </c:pt>
                <c:pt idx="13">
                  <c:v>1.6666666666666665</c:v>
                </c:pt>
                <c:pt idx="14">
                  <c:v>1.1904761904761905</c:v>
                </c:pt>
                <c:pt idx="15">
                  <c:v>1.1111111111111112</c:v>
                </c:pt>
                <c:pt idx="16">
                  <c:v>2.2222222222222223</c:v>
                </c:pt>
                <c:pt idx="17">
                  <c:v>5.9523809523809517</c:v>
                </c:pt>
                <c:pt idx="18">
                  <c:v>1.0416666666666667</c:v>
                </c:pt>
                <c:pt idx="19">
                  <c:v>8.3333333333333339</c:v>
                </c:pt>
                <c:pt idx="20">
                  <c:v>0.69444444444444442</c:v>
                </c:pt>
                <c:pt idx="21">
                  <c:v>1.3888888888888888</c:v>
                </c:pt>
                <c:pt idx="22">
                  <c:v>6.9444444444444446</c:v>
                </c:pt>
                <c:pt idx="23">
                  <c:v>2.3809523809523809</c:v>
                </c:pt>
                <c:pt idx="24">
                  <c:v>11.111111111111111</c:v>
                </c:pt>
                <c:pt idx="25">
                  <c:v>5.9523809523809517</c:v>
                </c:pt>
                <c:pt idx="26">
                  <c:v>0.55555555555555558</c:v>
                </c:pt>
                <c:pt idx="27">
                  <c:v>1.6666666666666665</c:v>
                </c:pt>
                <c:pt idx="28">
                  <c:v>20.833333333333332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DA-4BC6-922F-64D47C7E9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2080"/>
        <c:axId val="103804080"/>
      </c:scatterChart>
      <c:valAx>
        <c:axId val="103732080"/>
        <c:scaling>
          <c:logBase val="10"/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28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2800">
                    <a:solidFill>
                      <a:sysClr val="windowText" lastClr="000000"/>
                    </a:solidFill>
                  </a:rPr>
                  <a:t>/person)</a:t>
                </a:r>
              </a:p>
            </c:rich>
          </c:tx>
          <c:layout>
            <c:manualLayout>
              <c:xMode val="edge"/>
              <c:yMode val="edge"/>
              <c:x val="0.33692293671624379"/>
              <c:y val="0.9059408719743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4080"/>
        <c:crosses val="autoZero"/>
        <c:crossBetween val="midCat"/>
        <c:majorUnit val="10"/>
      </c:valAx>
      <c:valAx>
        <c:axId val="103804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aseline="0">
                    <a:solidFill>
                      <a:sysClr val="windowText" lastClr="000000"/>
                    </a:solidFill>
                  </a:rPr>
                  <a:t>VTAC </a:t>
                </a:r>
                <a:r>
                  <a:rPr lang="en-US" sz="2800">
                    <a:solidFill>
                      <a:sysClr val="windowText" lastClr="000000"/>
                    </a:solidFill>
                  </a:rPr>
                  <a:t>(L/s.p)</a:t>
                </a:r>
              </a:p>
            </c:rich>
          </c:tx>
          <c:layout>
            <c:manualLayout>
              <c:xMode val="edge"/>
              <c:yMode val="edge"/>
              <c:x val="2.3478835978835978E-2"/>
              <c:y val="0.300856481481481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3208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85831632157093"/>
          <c:y val="7.5345581802274714E-2"/>
          <c:w val="0.77803526295324199"/>
          <c:h val="0.7244858194808983"/>
        </c:manualLayout>
      </c:layout>
      <c:scatterChart>
        <c:scatterStyle val="lineMarker"/>
        <c:varyColors val="0"/>
        <c:ser>
          <c:idx val="3"/>
          <c:order val="0"/>
          <c:tx>
            <c:v> qe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31750">
                <a:solidFill>
                  <a:srgbClr val="FFC000"/>
                </a:solidFill>
              </a:ln>
              <a:effectLst/>
            </c:spPr>
          </c:marker>
          <c:trendline>
            <c:spPr>
              <a:ln w="44450" cap="rnd">
                <a:solidFill>
                  <a:schemeClr val="accent4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'Fig S3. ASHRAE 241'!$J$4:$J$32</c:f>
              <c:numCache>
                <c:formatCode>0.0</c:formatCode>
                <c:ptCount val="29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42.857142857142854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6</c:v>
                </c:pt>
                <c:pt idx="14">
                  <c:v>8.5714285714285712</c:v>
                </c:pt>
                <c:pt idx="15">
                  <c:v>2</c:v>
                </c:pt>
                <c:pt idx="16">
                  <c:v>2</c:v>
                </c:pt>
                <c:pt idx="17">
                  <c:v>42.857142857142854</c:v>
                </c:pt>
                <c:pt idx="18">
                  <c:v>7.5</c:v>
                </c:pt>
                <c:pt idx="19">
                  <c:v>60</c:v>
                </c:pt>
                <c:pt idx="20">
                  <c:v>2.5</c:v>
                </c:pt>
                <c:pt idx="21">
                  <c:v>10</c:v>
                </c:pt>
                <c:pt idx="22">
                  <c:v>100</c:v>
                </c:pt>
                <c:pt idx="23">
                  <c:v>4.2857142857142856</c:v>
                </c:pt>
                <c:pt idx="24">
                  <c:v>20</c:v>
                </c:pt>
                <c:pt idx="25">
                  <c:v>42.857142857142854</c:v>
                </c:pt>
                <c:pt idx="26">
                  <c:v>2</c:v>
                </c:pt>
                <c:pt idx="27">
                  <c:v>3</c:v>
                </c:pt>
                <c:pt idx="28">
                  <c:v>150</c:v>
                </c:pt>
              </c:numCache>
            </c:numRef>
          </c:xVal>
          <c:yVal>
            <c:numRef>
              <c:f>'Fig S3. ASHRAE 241'!$M$4:$M$32</c:f>
              <c:numCache>
                <c:formatCode>0.0</c:formatCode>
                <c:ptCount val="29"/>
                <c:pt idx="0">
                  <c:v>25.79750165089148</c:v>
                </c:pt>
                <c:pt idx="1">
                  <c:v>31.631526579460058</c:v>
                </c:pt>
                <c:pt idx="2">
                  <c:v>16.646450348432058</c:v>
                </c:pt>
                <c:pt idx="3">
                  <c:v>30.656190563277249</c:v>
                </c:pt>
                <c:pt idx="4">
                  <c:v>18.526484448633365</c:v>
                </c:pt>
                <c:pt idx="5">
                  <c:v>23.299809644670045</c:v>
                </c:pt>
                <c:pt idx="6">
                  <c:v>23.964520958083014</c:v>
                </c:pt>
                <c:pt idx="7">
                  <c:v>23.964520958083014</c:v>
                </c:pt>
                <c:pt idx="8">
                  <c:v>66.318401166444303</c:v>
                </c:pt>
                <c:pt idx="9">
                  <c:v>28.902727402085294</c:v>
                </c:pt>
                <c:pt idx="10">
                  <c:v>43.541402990314573</c:v>
                </c:pt>
                <c:pt idx="11">
                  <c:v>39.402906029331888</c:v>
                </c:pt>
                <c:pt idx="12">
                  <c:v>29.405400440852315</c:v>
                </c:pt>
                <c:pt idx="13">
                  <c:v>47.398523514400289</c:v>
                </c:pt>
                <c:pt idx="14">
                  <c:v>22.825912523599751</c:v>
                </c:pt>
                <c:pt idx="15">
                  <c:v>26.084587135544179</c:v>
                </c:pt>
                <c:pt idx="16">
                  <c:v>26.678363305129285</c:v>
                </c:pt>
                <c:pt idx="17">
                  <c:v>39.315242809365898</c:v>
                </c:pt>
                <c:pt idx="18">
                  <c:v>32.46696783819629</c:v>
                </c:pt>
                <c:pt idx="19">
                  <c:v>35.322248566737983</c:v>
                </c:pt>
                <c:pt idx="20">
                  <c:v>25.997821163875926</c:v>
                </c:pt>
                <c:pt idx="21">
                  <c:v>28.295712809917354</c:v>
                </c:pt>
                <c:pt idx="22">
                  <c:v>44.628220391895198</c:v>
                </c:pt>
                <c:pt idx="23">
                  <c:v>32.344991757142772</c:v>
                </c:pt>
                <c:pt idx="24">
                  <c:v>32.197701701888143</c:v>
                </c:pt>
                <c:pt idx="25">
                  <c:v>24.533727377101741</c:v>
                </c:pt>
                <c:pt idx="26">
                  <c:v>25.79750165089148</c:v>
                </c:pt>
                <c:pt idx="27">
                  <c:v>31.631526579460058</c:v>
                </c:pt>
                <c:pt idx="28">
                  <c:v>61.841351424276979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56-4F97-89E4-0EEAB5484438}"/>
            </c:ext>
          </c:extLst>
        </c:ser>
        <c:ser>
          <c:idx val="0"/>
          <c:order val="1"/>
          <c:tx>
            <c:v> qc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5"/>
            <c:spPr>
              <a:noFill/>
              <a:ln w="19050">
                <a:solidFill>
                  <a:srgbClr val="FFC000"/>
                </a:solidFill>
              </a:ln>
              <a:effectLst/>
            </c:spPr>
          </c:marker>
          <c:xVal>
            <c:numRef>
              <c:f>'Fig S3. ASHRAE 241'!$J$4:$J$32</c:f>
              <c:numCache>
                <c:formatCode>0.0</c:formatCode>
                <c:ptCount val="29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42.857142857142854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6</c:v>
                </c:pt>
                <c:pt idx="14">
                  <c:v>8.5714285714285712</c:v>
                </c:pt>
                <c:pt idx="15">
                  <c:v>2</c:v>
                </c:pt>
                <c:pt idx="16">
                  <c:v>2</c:v>
                </c:pt>
                <c:pt idx="17">
                  <c:v>42.857142857142854</c:v>
                </c:pt>
                <c:pt idx="18">
                  <c:v>7.5</c:v>
                </c:pt>
                <c:pt idx="19">
                  <c:v>60</c:v>
                </c:pt>
                <c:pt idx="20">
                  <c:v>2.5</c:v>
                </c:pt>
                <c:pt idx="21">
                  <c:v>10</c:v>
                </c:pt>
                <c:pt idx="22">
                  <c:v>100</c:v>
                </c:pt>
                <c:pt idx="23">
                  <c:v>4.2857142857142856</c:v>
                </c:pt>
                <c:pt idx="24">
                  <c:v>20</c:v>
                </c:pt>
                <c:pt idx="25">
                  <c:v>42.857142857142854</c:v>
                </c:pt>
                <c:pt idx="26">
                  <c:v>2</c:v>
                </c:pt>
                <c:pt idx="27">
                  <c:v>3</c:v>
                </c:pt>
                <c:pt idx="28">
                  <c:v>150</c:v>
                </c:pt>
              </c:numCache>
            </c:numRef>
          </c:xVal>
          <c:yVal>
            <c:numRef>
              <c:f>'Fig S3. ASHRAE 241'!$K$4:$K$32</c:f>
              <c:numCache>
                <c:formatCode>0.0</c:formatCode>
                <c:ptCount val="29"/>
                <c:pt idx="0">
                  <c:v>25.516666666666666</c:v>
                </c:pt>
                <c:pt idx="1">
                  <c:v>30.774999999999999</c:v>
                </c:pt>
                <c:pt idx="2">
                  <c:v>16.291666666666668</c:v>
                </c:pt>
                <c:pt idx="3">
                  <c:v>30.516666666666666</c:v>
                </c:pt>
                <c:pt idx="4">
                  <c:v>18.100000000000001</c:v>
                </c:pt>
                <c:pt idx="5">
                  <c:v>22.583333333333332</c:v>
                </c:pt>
                <c:pt idx="6">
                  <c:v>23.1</c:v>
                </c:pt>
                <c:pt idx="7">
                  <c:v>23.1</c:v>
                </c:pt>
                <c:pt idx="8">
                  <c:v>51.071428571428569</c:v>
                </c:pt>
                <c:pt idx="9">
                  <c:v>23.875</c:v>
                </c:pt>
                <c:pt idx="10">
                  <c:v>38.875</c:v>
                </c:pt>
                <c:pt idx="11">
                  <c:v>38.875</c:v>
                </c:pt>
                <c:pt idx="12">
                  <c:v>28.875</c:v>
                </c:pt>
                <c:pt idx="13">
                  <c:v>46.55</c:v>
                </c:pt>
                <c:pt idx="14">
                  <c:v>22.214285714285715</c:v>
                </c:pt>
                <c:pt idx="15">
                  <c:v>25.516666666666666</c:v>
                </c:pt>
                <c:pt idx="16">
                  <c:v>25.516666666666666</c:v>
                </c:pt>
                <c:pt idx="17">
                  <c:v>36.071428571428569</c:v>
                </c:pt>
                <c:pt idx="18">
                  <c:v>31.9375</c:v>
                </c:pt>
                <c:pt idx="19">
                  <c:v>30.5</c:v>
                </c:pt>
                <c:pt idx="20">
                  <c:v>25.645833333333332</c:v>
                </c:pt>
                <c:pt idx="21">
                  <c:v>27.583333333333332</c:v>
                </c:pt>
                <c:pt idx="22">
                  <c:v>40.833333333333329</c:v>
                </c:pt>
                <c:pt idx="23">
                  <c:v>31.107142857142858</c:v>
                </c:pt>
                <c:pt idx="24">
                  <c:v>25.166666666666668</c:v>
                </c:pt>
                <c:pt idx="25">
                  <c:v>21.071428571428569</c:v>
                </c:pt>
                <c:pt idx="26">
                  <c:v>25.516666666666666</c:v>
                </c:pt>
                <c:pt idx="27">
                  <c:v>30.774999999999999</c:v>
                </c:pt>
                <c:pt idx="28">
                  <c:v>48.75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3D-4DB4-8350-ED8621F506F3}"/>
            </c:ext>
          </c:extLst>
        </c:ser>
        <c:ser>
          <c:idx val="1"/>
          <c:order val="2"/>
          <c:tx>
            <c:v> qvt</c:v>
          </c:tx>
          <c:spPr>
            <a:ln w="25400" cap="rnd">
              <a:noFill/>
              <a:round/>
            </a:ln>
            <a:effectLst/>
          </c:spPr>
          <c:marker>
            <c:symbol val="x"/>
            <c:size val="9"/>
            <c:spPr>
              <a:noFill/>
              <a:ln w="25400">
                <a:solidFill>
                  <a:srgbClr val="FFC000"/>
                </a:solidFill>
              </a:ln>
              <a:effectLst/>
            </c:spPr>
          </c:marker>
          <c:xVal>
            <c:numRef>
              <c:f>'Fig S3. ASHRAE 241'!$J$4:$J$32</c:f>
              <c:numCache>
                <c:formatCode>0.0</c:formatCode>
                <c:ptCount val="29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42.857142857142854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6</c:v>
                </c:pt>
                <c:pt idx="14">
                  <c:v>8.5714285714285712</c:v>
                </c:pt>
                <c:pt idx="15">
                  <c:v>2</c:v>
                </c:pt>
                <c:pt idx="16">
                  <c:v>2</c:v>
                </c:pt>
                <c:pt idx="17">
                  <c:v>42.857142857142854</c:v>
                </c:pt>
                <c:pt idx="18">
                  <c:v>7.5</c:v>
                </c:pt>
                <c:pt idx="19">
                  <c:v>60</c:v>
                </c:pt>
                <c:pt idx="20">
                  <c:v>2.5</c:v>
                </c:pt>
                <c:pt idx="21">
                  <c:v>10</c:v>
                </c:pt>
                <c:pt idx="22">
                  <c:v>100</c:v>
                </c:pt>
                <c:pt idx="23">
                  <c:v>4.2857142857142856</c:v>
                </c:pt>
                <c:pt idx="24">
                  <c:v>20</c:v>
                </c:pt>
                <c:pt idx="25">
                  <c:v>42.857142857142854</c:v>
                </c:pt>
                <c:pt idx="26">
                  <c:v>2</c:v>
                </c:pt>
                <c:pt idx="27">
                  <c:v>3</c:v>
                </c:pt>
                <c:pt idx="28">
                  <c:v>150</c:v>
                </c:pt>
              </c:numCache>
            </c:numRef>
          </c:xVal>
          <c:yVal>
            <c:numRef>
              <c:f>'Fig S3. ASHRAE 241'!$S$4:$S$32</c:f>
              <c:numCache>
                <c:formatCode>0.000</c:formatCode>
                <c:ptCount val="29"/>
                <c:pt idx="0">
                  <c:v>0.55555555555555558</c:v>
                </c:pt>
                <c:pt idx="1">
                  <c:v>1.6666666666666665</c:v>
                </c:pt>
                <c:pt idx="2">
                  <c:v>0.69444444444444442</c:v>
                </c:pt>
                <c:pt idx="3">
                  <c:v>0.27777777777777779</c:v>
                </c:pt>
                <c:pt idx="4">
                  <c:v>0.83333333333333326</c:v>
                </c:pt>
                <c:pt idx="5">
                  <c:v>1.3888888888888888</c:v>
                </c:pt>
                <c:pt idx="6">
                  <c:v>1.6666666666666665</c:v>
                </c:pt>
                <c:pt idx="7">
                  <c:v>1.6666666666666665</c:v>
                </c:pt>
                <c:pt idx="8">
                  <c:v>23.809523809523807</c:v>
                </c:pt>
                <c:pt idx="9">
                  <c:v>8.3333333333333339</c:v>
                </c:pt>
                <c:pt idx="10">
                  <c:v>8.3333333333333339</c:v>
                </c:pt>
                <c:pt idx="11">
                  <c:v>1.0416666666666667</c:v>
                </c:pt>
                <c:pt idx="12">
                  <c:v>1.0416666666666667</c:v>
                </c:pt>
                <c:pt idx="13">
                  <c:v>1.6666666666666665</c:v>
                </c:pt>
                <c:pt idx="14">
                  <c:v>1.1904761904761905</c:v>
                </c:pt>
                <c:pt idx="15">
                  <c:v>1.1111111111111112</c:v>
                </c:pt>
                <c:pt idx="16">
                  <c:v>2.2222222222222223</c:v>
                </c:pt>
                <c:pt idx="17">
                  <c:v>5.9523809523809517</c:v>
                </c:pt>
                <c:pt idx="18">
                  <c:v>1.0416666666666667</c:v>
                </c:pt>
                <c:pt idx="19">
                  <c:v>8.3333333333333339</c:v>
                </c:pt>
                <c:pt idx="20">
                  <c:v>0.69444444444444442</c:v>
                </c:pt>
                <c:pt idx="21">
                  <c:v>1.3888888888888888</c:v>
                </c:pt>
                <c:pt idx="22">
                  <c:v>6.9444444444444446</c:v>
                </c:pt>
                <c:pt idx="23">
                  <c:v>2.3809523809523809</c:v>
                </c:pt>
                <c:pt idx="24">
                  <c:v>11.111111111111111</c:v>
                </c:pt>
                <c:pt idx="25">
                  <c:v>5.9523809523809517</c:v>
                </c:pt>
                <c:pt idx="26">
                  <c:v>0.55555555555555558</c:v>
                </c:pt>
                <c:pt idx="27">
                  <c:v>1.6666666666666665</c:v>
                </c:pt>
                <c:pt idx="28">
                  <c:v>20.833333333333332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F3D-4DB4-8350-ED8621F50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60527"/>
        <c:axId val="392544207"/>
      </c:scatterChart>
      <c:valAx>
        <c:axId val="392560527"/>
        <c:scaling>
          <c:logBase val="10"/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 sz="28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HK" sz="28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HK" sz="2800">
                    <a:solidFill>
                      <a:sysClr val="windowText" lastClr="000000"/>
                    </a:solidFill>
                  </a:rPr>
                  <a:t>/</a:t>
                </a:r>
                <a:r>
                  <a:rPr lang="en-US" altLang="zh-CN" sz="2800">
                    <a:solidFill>
                      <a:sysClr val="windowText" lastClr="000000"/>
                    </a:solidFill>
                  </a:rPr>
                  <a:t>pe</a:t>
                </a:r>
                <a:r>
                  <a:rPr lang="en-HK" sz="2800">
                    <a:solidFill>
                      <a:sysClr val="windowText" lastClr="000000"/>
                    </a:solidFill>
                  </a:rPr>
                  <a:t>rson)</a:t>
                </a:r>
              </a:p>
            </c:rich>
          </c:tx>
          <c:layout>
            <c:manualLayout>
              <c:xMode val="edge"/>
              <c:yMode val="edge"/>
              <c:x val="0.32003365898707103"/>
              <c:y val="0.911951188393117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44207"/>
        <c:crossesAt val="1.0000000000000002E-3"/>
        <c:crossBetween val="midCat"/>
        <c:majorUnit val="10"/>
      </c:valAx>
      <c:valAx>
        <c:axId val="3925442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aseline="0">
                    <a:solidFill>
                      <a:sysClr val="windowText" lastClr="000000"/>
                    </a:solidFill>
                  </a:rPr>
                  <a:t>Clean flow rate (L/s.p)</a:t>
                </a:r>
                <a:endParaRPr lang="en-US" sz="28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5104302138606319E-2"/>
              <c:y val="0.151106189851268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60527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775805207837726"/>
          <c:y val="7.407407407407407E-2"/>
          <c:w val="0.10355154366831401"/>
          <c:h val="0.238821267133275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4983960338291"/>
          <c:y val="6.0190735694822889E-2"/>
          <c:w val="0.74164357927481284"/>
          <c:h val="0.73790409011373581"/>
        </c:manualLayout>
      </c:layout>
      <c:scatterChart>
        <c:scatterStyle val="lineMarker"/>
        <c:varyColors val="0"/>
        <c:ser>
          <c:idx val="0"/>
          <c:order val="0"/>
          <c:tx>
            <c:v>qc ASHRAE 62.1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19050">
                <a:solidFill>
                  <a:srgbClr val="4472C4"/>
                </a:solidFill>
              </a:ln>
              <a:effectLst/>
            </c:spPr>
          </c:marker>
          <c:trendline>
            <c:spPr>
              <a:ln w="34925" cap="rnd">
                <a:solidFill>
                  <a:schemeClr val="accent1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'Fig S4ab. ASHRAE 62.1'!$S$4:$S$87</c:f>
              <c:numCache>
                <c:formatCode>0.000</c:formatCode>
                <c:ptCount val="84"/>
                <c:pt idx="0">
                  <c:v>11.111111111111111</c:v>
                </c:pt>
                <c:pt idx="1">
                  <c:v>27.777777777777775</c:v>
                </c:pt>
                <c:pt idx="2">
                  <c:v>55.55555555555555</c:v>
                </c:pt>
                <c:pt idx="3">
                  <c:v>83.333333333333329</c:v>
                </c:pt>
                <c:pt idx="4">
                  <c:v>166.66666666666666</c:v>
                </c:pt>
                <c:pt idx="5">
                  <c:v>833.33333333333326</c:v>
                </c:pt>
                <c:pt idx="6">
                  <c:v>833.33333333333326</c:v>
                </c:pt>
                <c:pt idx="7">
                  <c:v>6.6666666666666661</c:v>
                </c:pt>
                <c:pt idx="8">
                  <c:v>8.3333333333333339</c:v>
                </c:pt>
                <c:pt idx="9">
                  <c:v>11.111111111111111</c:v>
                </c:pt>
                <c:pt idx="10">
                  <c:v>16.666666666666668</c:v>
                </c:pt>
                <c:pt idx="11">
                  <c:v>16.666666666666668</c:v>
                </c:pt>
                <c:pt idx="12">
                  <c:v>16.666666666666668</c:v>
                </c:pt>
                <c:pt idx="13">
                  <c:v>16.666666666666668</c:v>
                </c:pt>
                <c:pt idx="14">
                  <c:v>16.666666666666668</c:v>
                </c:pt>
                <c:pt idx="15">
                  <c:v>66.666666666666671</c:v>
                </c:pt>
                <c:pt idx="16">
                  <c:v>1.1111111111111112</c:v>
                </c:pt>
                <c:pt idx="17">
                  <c:v>1.6666666666666665</c:v>
                </c:pt>
                <c:pt idx="18">
                  <c:v>1.6666666666666665</c:v>
                </c:pt>
                <c:pt idx="19">
                  <c:v>1.6666666666666665</c:v>
                </c:pt>
                <c:pt idx="20">
                  <c:v>1.6666666666666665</c:v>
                </c:pt>
                <c:pt idx="21">
                  <c:v>2.3809523809523809</c:v>
                </c:pt>
                <c:pt idx="22">
                  <c:v>2.5641025641025643</c:v>
                </c:pt>
                <c:pt idx="23">
                  <c:v>3.333333333333333</c:v>
                </c:pt>
                <c:pt idx="24">
                  <c:v>4.166666666666667</c:v>
                </c:pt>
                <c:pt idx="25">
                  <c:v>4.166666666666667</c:v>
                </c:pt>
                <c:pt idx="26">
                  <c:v>4.7619047619047619</c:v>
                </c:pt>
                <c:pt idx="27">
                  <c:v>4.7619047619047619</c:v>
                </c:pt>
                <c:pt idx="28">
                  <c:v>6.6666666666666661</c:v>
                </c:pt>
                <c:pt idx="29">
                  <c:v>6.6666666666666661</c:v>
                </c:pt>
                <c:pt idx="30">
                  <c:v>6.6666666666666661</c:v>
                </c:pt>
                <c:pt idx="31">
                  <c:v>6.6666666666666661</c:v>
                </c:pt>
                <c:pt idx="32">
                  <c:v>6.6666666666666661</c:v>
                </c:pt>
                <c:pt idx="33">
                  <c:v>6.6666666666666661</c:v>
                </c:pt>
                <c:pt idx="34">
                  <c:v>6.6666666666666661</c:v>
                </c:pt>
                <c:pt idx="35">
                  <c:v>8.3333333333333339</c:v>
                </c:pt>
                <c:pt idx="36">
                  <c:v>8.3333333333333339</c:v>
                </c:pt>
                <c:pt idx="37">
                  <c:v>8.3333333333333339</c:v>
                </c:pt>
                <c:pt idx="38">
                  <c:v>8.3333333333333339</c:v>
                </c:pt>
                <c:pt idx="39">
                  <c:v>8.3333333333333339</c:v>
                </c:pt>
                <c:pt idx="40">
                  <c:v>8.3333333333333339</c:v>
                </c:pt>
                <c:pt idx="41">
                  <c:v>8.3333333333333339</c:v>
                </c:pt>
                <c:pt idx="42">
                  <c:v>8.3333333333333339</c:v>
                </c:pt>
                <c:pt idx="43">
                  <c:v>8.3333333333333339</c:v>
                </c:pt>
                <c:pt idx="44">
                  <c:v>11.111111111111111</c:v>
                </c:pt>
                <c:pt idx="45">
                  <c:v>16.666666666666668</c:v>
                </c:pt>
                <c:pt idx="46">
                  <c:v>16.666666666666668</c:v>
                </c:pt>
                <c:pt idx="47">
                  <c:v>16.666666666666668</c:v>
                </c:pt>
                <c:pt idx="48">
                  <c:v>16.666666666666668</c:v>
                </c:pt>
                <c:pt idx="49">
                  <c:v>16.666666666666668</c:v>
                </c:pt>
                <c:pt idx="50">
                  <c:v>16.666666666666668</c:v>
                </c:pt>
                <c:pt idx="51">
                  <c:v>16.666666666666668</c:v>
                </c:pt>
                <c:pt idx="52">
                  <c:v>20.833333333333332</c:v>
                </c:pt>
                <c:pt idx="53">
                  <c:v>23.80952380952381</c:v>
                </c:pt>
                <c:pt idx="54">
                  <c:v>83.333333333333329</c:v>
                </c:pt>
                <c:pt idx="55">
                  <c:v>0.55555555555555558</c:v>
                </c:pt>
                <c:pt idx="56">
                  <c:v>0.55555555555555558</c:v>
                </c:pt>
                <c:pt idx="57">
                  <c:v>0.69444444444444442</c:v>
                </c:pt>
                <c:pt idx="58">
                  <c:v>0.69444444444444442</c:v>
                </c:pt>
                <c:pt idx="59">
                  <c:v>0.83333333333333326</c:v>
                </c:pt>
                <c:pt idx="60">
                  <c:v>1.1904761904761905</c:v>
                </c:pt>
                <c:pt idx="61">
                  <c:v>1.1904761904761905</c:v>
                </c:pt>
                <c:pt idx="62">
                  <c:v>1.6666666666666665</c:v>
                </c:pt>
                <c:pt idx="63">
                  <c:v>2.0833333333333335</c:v>
                </c:pt>
                <c:pt idx="64">
                  <c:v>2.0833333333333335</c:v>
                </c:pt>
                <c:pt idx="65">
                  <c:v>2.7777777777777777</c:v>
                </c:pt>
                <c:pt idx="66">
                  <c:v>3.333333333333333</c:v>
                </c:pt>
                <c:pt idx="67">
                  <c:v>3.333333333333333</c:v>
                </c:pt>
                <c:pt idx="68">
                  <c:v>3.333333333333333</c:v>
                </c:pt>
                <c:pt idx="69">
                  <c:v>4.166666666666667</c:v>
                </c:pt>
                <c:pt idx="70">
                  <c:v>11.904761904761905</c:v>
                </c:pt>
                <c:pt idx="71">
                  <c:v>20.833333333333332</c:v>
                </c:pt>
                <c:pt idx="72">
                  <c:v>0.34722222222222221</c:v>
                </c:pt>
                <c:pt idx="73">
                  <c:v>0.83333333333333326</c:v>
                </c:pt>
                <c:pt idx="74">
                  <c:v>1.6666666666666665</c:v>
                </c:pt>
                <c:pt idx="75">
                  <c:v>2.0833333333333335</c:v>
                </c:pt>
                <c:pt idx="76">
                  <c:v>2.7777777777777777</c:v>
                </c:pt>
                <c:pt idx="77">
                  <c:v>2.7777777777777777</c:v>
                </c:pt>
                <c:pt idx="78">
                  <c:v>4.166666666666667</c:v>
                </c:pt>
                <c:pt idx="79">
                  <c:v>5.9523809523809526</c:v>
                </c:pt>
                <c:pt idx="80">
                  <c:v>1.0416666666666667</c:v>
                </c:pt>
                <c:pt idx="81">
                  <c:v>2.0833333333333335</c:v>
                </c:pt>
                <c:pt idx="82">
                  <c:v>2.9761904761904763</c:v>
                </c:pt>
                <c:pt idx="83">
                  <c:v>4.166666666666667</c:v>
                </c:pt>
              </c:numCache>
            </c:numRef>
          </c:xVal>
          <c:yVal>
            <c:numRef>
              <c:f>'Fig S4ab. ASHRAE 62.1'!$K$4:$K$87</c:f>
              <c:numCache>
                <c:formatCode>0.000</c:formatCode>
                <c:ptCount val="84"/>
                <c:pt idx="0">
                  <c:v>3.2166666666666668</c:v>
                </c:pt>
                <c:pt idx="1">
                  <c:v>4.291666666666667</c:v>
                </c:pt>
                <c:pt idx="2">
                  <c:v>7.3833333333333329</c:v>
                </c:pt>
                <c:pt idx="3">
                  <c:v>13.375</c:v>
                </c:pt>
                <c:pt idx="4">
                  <c:v>13.25</c:v>
                </c:pt>
                <c:pt idx="5">
                  <c:v>71.25</c:v>
                </c:pt>
                <c:pt idx="6">
                  <c:v>56.25</c:v>
                </c:pt>
                <c:pt idx="7">
                  <c:v>5.95</c:v>
                </c:pt>
                <c:pt idx="8">
                  <c:v>6.4874999999999998</c:v>
                </c:pt>
                <c:pt idx="9">
                  <c:v>6.0833333333333339</c:v>
                </c:pt>
                <c:pt idx="10">
                  <c:v>7.875</c:v>
                </c:pt>
                <c:pt idx="11">
                  <c:v>11.875</c:v>
                </c:pt>
                <c:pt idx="12">
                  <c:v>13.375</c:v>
                </c:pt>
                <c:pt idx="13">
                  <c:v>13.375</c:v>
                </c:pt>
                <c:pt idx="14">
                  <c:v>13.375</c:v>
                </c:pt>
                <c:pt idx="15">
                  <c:v>24</c:v>
                </c:pt>
                <c:pt idx="16">
                  <c:v>4.5166666666666666</c:v>
                </c:pt>
                <c:pt idx="17">
                  <c:v>4.875</c:v>
                </c:pt>
                <c:pt idx="18">
                  <c:v>5.4750000000000005</c:v>
                </c:pt>
                <c:pt idx="19">
                  <c:v>5.4750000000000005</c:v>
                </c:pt>
                <c:pt idx="20">
                  <c:v>4.875</c:v>
                </c:pt>
                <c:pt idx="21">
                  <c:v>6.1928571428571431</c:v>
                </c:pt>
                <c:pt idx="22">
                  <c:v>5.453846153846154</c:v>
                </c:pt>
                <c:pt idx="23">
                  <c:v>5.25</c:v>
                </c:pt>
                <c:pt idx="24">
                  <c:v>8.4375</c:v>
                </c:pt>
                <c:pt idx="25">
                  <c:v>12.6875</c:v>
                </c:pt>
                <c:pt idx="26">
                  <c:v>8.9285714285714288</c:v>
                </c:pt>
                <c:pt idx="27">
                  <c:v>8.071428571428573</c:v>
                </c:pt>
                <c:pt idx="28">
                  <c:v>10.5</c:v>
                </c:pt>
                <c:pt idx="29">
                  <c:v>10.5</c:v>
                </c:pt>
                <c:pt idx="30">
                  <c:v>11.7</c:v>
                </c:pt>
                <c:pt idx="31">
                  <c:v>10.5</c:v>
                </c:pt>
                <c:pt idx="32">
                  <c:v>11.7</c:v>
                </c:pt>
                <c:pt idx="33">
                  <c:v>11.7</c:v>
                </c:pt>
                <c:pt idx="34">
                  <c:v>6.8000000000000007</c:v>
                </c:pt>
                <c:pt idx="35">
                  <c:v>13.375</c:v>
                </c:pt>
                <c:pt idx="36">
                  <c:v>13.375</c:v>
                </c:pt>
                <c:pt idx="37">
                  <c:v>10.675000000000001</c:v>
                </c:pt>
                <c:pt idx="38">
                  <c:v>10.675000000000001</c:v>
                </c:pt>
                <c:pt idx="39">
                  <c:v>13.375</c:v>
                </c:pt>
                <c:pt idx="40">
                  <c:v>13.375</c:v>
                </c:pt>
                <c:pt idx="41">
                  <c:v>13.375</c:v>
                </c:pt>
                <c:pt idx="42">
                  <c:v>13.375</c:v>
                </c:pt>
                <c:pt idx="43">
                  <c:v>13.375</c:v>
                </c:pt>
                <c:pt idx="44">
                  <c:v>10.966666666666667</c:v>
                </c:pt>
                <c:pt idx="45">
                  <c:v>20.75</c:v>
                </c:pt>
                <c:pt idx="46">
                  <c:v>16.25</c:v>
                </c:pt>
                <c:pt idx="47">
                  <c:v>16.25</c:v>
                </c:pt>
                <c:pt idx="48">
                  <c:v>19.25</c:v>
                </c:pt>
                <c:pt idx="49">
                  <c:v>16.25</c:v>
                </c:pt>
                <c:pt idx="50">
                  <c:v>20.55</c:v>
                </c:pt>
                <c:pt idx="51">
                  <c:v>16.25</c:v>
                </c:pt>
                <c:pt idx="52">
                  <c:v>17.237500000000001</c:v>
                </c:pt>
                <c:pt idx="53">
                  <c:v>33.928571428571431</c:v>
                </c:pt>
                <c:pt idx="54">
                  <c:v>73.75</c:v>
                </c:pt>
                <c:pt idx="55">
                  <c:v>3.2166666666666668</c:v>
                </c:pt>
                <c:pt idx="56">
                  <c:v>4.5166666666666666</c:v>
                </c:pt>
                <c:pt idx="57">
                  <c:v>3.3958333333333335</c:v>
                </c:pt>
                <c:pt idx="58">
                  <c:v>3.3958333333333335</c:v>
                </c:pt>
                <c:pt idx="59">
                  <c:v>11.075000000000001</c:v>
                </c:pt>
                <c:pt idx="60">
                  <c:v>4.0357142857142865</c:v>
                </c:pt>
                <c:pt idx="61">
                  <c:v>6.5357142857142865</c:v>
                </c:pt>
                <c:pt idx="62">
                  <c:v>4.6500000000000004</c:v>
                </c:pt>
                <c:pt idx="63">
                  <c:v>7.2374999999999998</c:v>
                </c:pt>
                <c:pt idx="64">
                  <c:v>6.4874999999999998</c:v>
                </c:pt>
                <c:pt idx="65">
                  <c:v>6.0833333333333339</c:v>
                </c:pt>
                <c:pt idx="66">
                  <c:v>11.7</c:v>
                </c:pt>
                <c:pt idx="67">
                  <c:v>8.1</c:v>
                </c:pt>
                <c:pt idx="68">
                  <c:v>15.5</c:v>
                </c:pt>
                <c:pt idx="69">
                  <c:v>13.375</c:v>
                </c:pt>
                <c:pt idx="70">
                  <c:v>23.442857142857143</c:v>
                </c:pt>
                <c:pt idx="71">
                  <c:v>29.375</c:v>
                </c:pt>
                <c:pt idx="72">
                  <c:v>5.1958333333333329</c:v>
                </c:pt>
                <c:pt idx="73">
                  <c:v>4.6500000000000004</c:v>
                </c:pt>
                <c:pt idx="74">
                  <c:v>8</c:v>
                </c:pt>
                <c:pt idx="75">
                  <c:v>12.175000000000001</c:v>
                </c:pt>
                <c:pt idx="76">
                  <c:v>9.6666666666666679</c:v>
                </c:pt>
                <c:pt idx="77">
                  <c:v>12.966666666666667</c:v>
                </c:pt>
                <c:pt idx="78">
                  <c:v>16.25</c:v>
                </c:pt>
                <c:pt idx="79">
                  <c:v>28.928571428571427</c:v>
                </c:pt>
                <c:pt idx="80">
                  <c:v>7.875</c:v>
                </c:pt>
                <c:pt idx="81">
                  <c:v>13.25</c:v>
                </c:pt>
                <c:pt idx="82">
                  <c:v>28.928571428571473</c:v>
                </c:pt>
                <c:pt idx="83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B8-4409-AD6E-B44759392F81}"/>
            </c:ext>
          </c:extLst>
        </c:ser>
        <c:ser>
          <c:idx val="1"/>
          <c:order val="1"/>
          <c:tx>
            <c:v>New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trendline>
            <c:spPr>
              <a:ln w="34925" cap="rnd">
                <a:solidFill>
                  <a:schemeClr val="accent2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'Fig S4ab. ASHRAE 62.1'!$S$4:$S$87</c:f>
              <c:numCache>
                <c:formatCode>0.000</c:formatCode>
                <c:ptCount val="84"/>
                <c:pt idx="0">
                  <c:v>11.111111111111111</c:v>
                </c:pt>
                <c:pt idx="1">
                  <c:v>27.777777777777775</c:v>
                </c:pt>
                <c:pt idx="2">
                  <c:v>55.55555555555555</c:v>
                </c:pt>
                <c:pt idx="3">
                  <c:v>83.333333333333329</c:v>
                </c:pt>
                <c:pt idx="4">
                  <c:v>166.66666666666666</c:v>
                </c:pt>
                <c:pt idx="5">
                  <c:v>833.33333333333326</c:v>
                </c:pt>
                <c:pt idx="6">
                  <c:v>833.33333333333326</c:v>
                </c:pt>
                <c:pt idx="7">
                  <c:v>6.6666666666666661</c:v>
                </c:pt>
                <c:pt idx="8">
                  <c:v>8.3333333333333339</c:v>
                </c:pt>
                <c:pt idx="9">
                  <c:v>11.111111111111111</c:v>
                </c:pt>
                <c:pt idx="10">
                  <c:v>16.666666666666668</c:v>
                </c:pt>
                <c:pt idx="11">
                  <c:v>16.666666666666668</c:v>
                </c:pt>
                <c:pt idx="12">
                  <c:v>16.666666666666668</c:v>
                </c:pt>
                <c:pt idx="13">
                  <c:v>16.666666666666668</c:v>
                </c:pt>
                <c:pt idx="14">
                  <c:v>16.666666666666668</c:v>
                </c:pt>
                <c:pt idx="15">
                  <c:v>66.666666666666671</c:v>
                </c:pt>
                <c:pt idx="16">
                  <c:v>1.1111111111111112</c:v>
                </c:pt>
                <c:pt idx="17">
                  <c:v>1.6666666666666665</c:v>
                </c:pt>
                <c:pt idx="18">
                  <c:v>1.6666666666666665</c:v>
                </c:pt>
                <c:pt idx="19">
                  <c:v>1.6666666666666665</c:v>
                </c:pt>
                <c:pt idx="20">
                  <c:v>1.6666666666666665</c:v>
                </c:pt>
                <c:pt idx="21">
                  <c:v>2.3809523809523809</c:v>
                </c:pt>
                <c:pt idx="22">
                  <c:v>2.5641025641025643</c:v>
                </c:pt>
                <c:pt idx="23">
                  <c:v>3.333333333333333</c:v>
                </c:pt>
                <c:pt idx="24">
                  <c:v>4.166666666666667</c:v>
                </c:pt>
                <c:pt idx="25">
                  <c:v>4.166666666666667</c:v>
                </c:pt>
                <c:pt idx="26">
                  <c:v>4.7619047619047619</c:v>
                </c:pt>
                <c:pt idx="27">
                  <c:v>4.7619047619047619</c:v>
                </c:pt>
                <c:pt idx="28">
                  <c:v>6.6666666666666661</c:v>
                </c:pt>
                <c:pt idx="29">
                  <c:v>6.6666666666666661</c:v>
                </c:pt>
                <c:pt idx="30">
                  <c:v>6.6666666666666661</c:v>
                </c:pt>
                <c:pt idx="31">
                  <c:v>6.6666666666666661</c:v>
                </c:pt>
                <c:pt idx="32">
                  <c:v>6.6666666666666661</c:v>
                </c:pt>
                <c:pt idx="33">
                  <c:v>6.6666666666666661</c:v>
                </c:pt>
                <c:pt idx="34">
                  <c:v>6.6666666666666661</c:v>
                </c:pt>
                <c:pt idx="35">
                  <c:v>8.3333333333333339</c:v>
                </c:pt>
                <c:pt idx="36">
                  <c:v>8.3333333333333339</c:v>
                </c:pt>
                <c:pt idx="37">
                  <c:v>8.3333333333333339</c:v>
                </c:pt>
                <c:pt idx="38">
                  <c:v>8.3333333333333339</c:v>
                </c:pt>
                <c:pt idx="39">
                  <c:v>8.3333333333333339</c:v>
                </c:pt>
                <c:pt idx="40">
                  <c:v>8.3333333333333339</c:v>
                </c:pt>
                <c:pt idx="41">
                  <c:v>8.3333333333333339</c:v>
                </c:pt>
                <c:pt idx="42">
                  <c:v>8.3333333333333339</c:v>
                </c:pt>
                <c:pt idx="43">
                  <c:v>8.3333333333333339</c:v>
                </c:pt>
                <c:pt idx="44">
                  <c:v>11.111111111111111</c:v>
                </c:pt>
                <c:pt idx="45">
                  <c:v>16.666666666666668</c:v>
                </c:pt>
                <c:pt idx="46">
                  <c:v>16.666666666666668</c:v>
                </c:pt>
                <c:pt idx="47">
                  <c:v>16.666666666666668</c:v>
                </c:pt>
                <c:pt idx="48">
                  <c:v>16.666666666666668</c:v>
                </c:pt>
                <c:pt idx="49">
                  <c:v>16.666666666666668</c:v>
                </c:pt>
                <c:pt idx="50">
                  <c:v>16.666666666666668</c:v>
                </c:pt>
                <c:pt idx="51">
                  <c:v>16.666666666666668</c:v>
                </c:pt>
                <c:pt idx="52">
                  <c:v>20.833333333333332</c:v>
                </c:pt>
                <c:pt idx="53">
                  <c:v>23.80952380952381</c:v>
                </c:pt>
                <c:pt idx="54">
                  <c:v>83.333333333333329</c:v>
                </c:pt>
                <c:pt idx="55">
                  <c:v>0.55555555555555558</c:v>
                </c:pt>
                <c:pt idx="56">
                  <c:v>0.55555555555555558</c:v>
                </c:pt>
                <c:pt idx="57">
                  <c:v>0.69444444444444442</c:v>
                </c:pt>
                <c:pt idx="58">
                  <c:v>0.69444444444444442</c:v>
                </c:pt>
                <c:pt idx="59">
                  <c:v>0.83333333333333326</c:v>
                </c:pt>
                <c:pt idx="60">
                  <c:v>1.1904761904761905</c:v>
                </c:pt>
                <c:pt idx="61">
                  <c:v>1.1904761904761905</c:v>
                </c:pt>
                <c:pt idx="62">
                  <c:v>1.6666666666666665</c:v>
                </c:pt>
                <c:pt idx="63">
                  <c:v>2.0833333333333335</c:v>
                </c:pt>
                <c:pt idx="64">
                  <c:v>2.0833333333333335</c:v>
                </c:pt>
                <c:pt idx="65">
                  <c:v>2.7777777777777777</c:v>
                </c:pt>
                <c:pt idx="66">
                  <c:v>3.333333333333333</c:v>
                </c:pt>
                <c:pt idx="67">
                  <c:v>3.333333333333333</c:v>
                </c:pt>
                <c:pt idx="68">
                  <c:v>3.333333333333333</c:v>
                </c:pt>
                <c:pt idx="69">
                  <c:v>4.166666666666667</c:v>
                </c:pt>
                <c:pt idx="70">
                  <c:v>11.904761904761905</c:v>
                </c:pt>
                <c:pt idx="71">
                  <c:v>20.833333333333332</c:v>
                </c:pt>
                <c:pt idx="72">
                  <c:v>0.34722222222222221</c:v>
                </c:pt>
                <c:pt idx="73">
                  <c:v>0.83333333333333326</c:v>
                </c:pt>
                <c:pt idx="74">
                  <c:v>1.6666666666666665</c:v>
                </c:pt>
                <c:pt idx="75">
                  <c:v>2.0833333333333335</c:v>
                </c:pt>
                <c:pt idx="76">
                  <c:v>2.7777777777777777</c:v>
                </c:pt>
                <c:pt idx="77">
                  <c:v>2.7777777777777777</c:v>
                </c:pt>
                <c:pt idx="78">
                  <c:v>4.166666666666667</c:v>
                </c:pt>
                <c:pt idx="79">
                  <c:v>5.9523809523809526</c:v>
                </c:pt>
                <c:pt idx="80">
                  <c:v>1.0416666666666667</c:v>
                </c:pt>
                <c:pt idx="81">
                  <c:v>2.0833333333333335</c:v>
                </c:pt>
                <c:pt idx="82">
                  <c:v>2.9761904761904763</c:v>
                </c:pt>
                <c:pt idx="83">
                  <c:v>4.166666666666667</c:v>
                </c:pt>
              </c:numCache>
            </c:numRef>
          </c:xVal>
          <c:yVal>
            <c:numRef>
              <c:f>'Fig S4ab. ASHRAE 62.1'!$U$4:$U$87</c:f>
              <c:numCache>
                <c:formatCode>General</c:formatCode>
                <c:ptCount val="8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8.4691289127370872</c:v>
                </c:pt>
                <c:pt idx="17">
                  <c:v>8.1141587085041387</c:v>
                </c:pt>
                <c:pt idx="18">
                  <c:v>9.1385929349055584</c:v>
                </c:pt>
                <c:pt idx="19">
                  <c:v>9.1385929349055584</c:v>
                </c:pt>
                <c:pt idx="20">
                  <c:v>16.755297344419048</c:v>
                </c:pt>
                <c:pt idx="21">
                  <c:v>8.6457062993563643</c:v>
                </c:pt>
                <c:pt idx="22">
                  <c:v>7.4672211655815559</c:v>
                </c:pt>
                <c:pt idx="23">
                  <c:v>5.2291877533948838</c:v>
                </c:pt>
                <c:pt idx="24">
                  <c:v>16.682461027193753</c:v>
                </c:pt>
                <c:pt idx="25">
                  <c:v>38.094820258711358</c:v>
                </c:pt>
                <c:pt idx="26">
                  <c:v>5.5685035148437976</c:v>
                </c:pt>
                <c:pt idx="27">
                  <c:v>36.731354604006007</c:v>
                </c:pt>
                <c:pt idx="28">
                  <c:v>3.5518657322265748</c:v>
                </c:pt>
                <c:pt idx="29">
                  <c:v>1.5282448727655453</c:v>
                </c:pt>
                <c:pt idx="30">
                  <c:v>12.089299659499829</c:v>
                </c:pt>
                <c:pt idx="31">
                  <c:v>1.5282448727655453</c:v>
                </c:pt>
                <c:pt idx="32">
                  <c:v>18.470537680621781</c:v>
                </c:pt>
                <c:pt idx="33">
                  <c:v>13.166489995861321</c:v>
                </c:pt>
                <c:pt idx="34">
                  <c:v>1.5282448727655453</c:v>
                </c:pt>
                <c:pt idx="35">
                  <c:v>10.586600606662849</c:v>
                </c:pt>
                <c:pt idx="36">
                  <c:v>10.586600606662849</c:v>
                </c:pt>
                <c:pt idx="37">
                  <c:v>10.586600606662849</c:v>
                </c:pt>
                <c:pt idx="38">
                  <c:v>2.8012984240824328</c:v>
                </c:pt>
                <c:pt idx="39">
                  <c:v>8.89485404831788</c:v>
                </c:pt>
                <c:pt idx="40">
                  <c:v>17.128192658498399</c:v>
                </c:pt>
                <c:pt idx="41">
                  <c:v>5.9767617824254176</c:v>
                </c:pt>
                <c:pt idx="42">
                  <c:v>4.753400680068804</c:v>
                </c:pt>
                <c:pt idx="43">
                  <c:v>4.753400680068804</c:v>
                </c:pt>
                <c:pt idx="44">
                  <c:v>1</c:v>
                </c:pt>
                <c:pt idx="45">
                  <c:v>17.78970809663576</c:v>
                </c:pt>
                <c:pt idx="46">
                  <c:v>5.6025968481648576</c:v>
                </c:pt>
                <c:pt idx="47">
                  <c:v>5.6025968481648576</c:v>
                </c:pt>
                <c:pt idx="48">
                  <c:v>1</c:v>
                </c:pt>
                <c:pt idx="49">
                  <c:v>1</c:v>
                </c:pt>
                <c:pt idx="50">
                  <c:v>7.6011869643442438</c:v>
                </c:pt>
                <c:pt idx="51">
                  <c:v>1</c:v>
                </c:pt>
                <c:pt idx="52">
                  <c:v>1</c:v>
                </c:pt>
                <c:pt idx="53">
                  <c:v>16.214127050609566</c:v>
                </c:pt>
                <c:pt idx="54">
                  <c:v>1</c:v>
                </c:pt>
                <c:pt idx="55">
                  <c:v>14.804707204430446</c:v>
                </c:pt>
                <c:pt idx="56">
                  <c:v>32.839810224673336</c:v>
                </c:pt>
                <c:pt idx="57">
                  <c:v>12.732220995678823</c:v>
                </c:pt>
                <c:pt idx="58">
                  <c:v>14.741741993924036</c:v>
                </c:pt>
                <c:pt idx="59">
                  <c:v>77.785592915584516</c:v>
                </c:pt>
                <c:pt idx="60">
                  <c:v>14.492337480038367</c:v>
                </c:pt>
                <c:pt idx="61">
                  <c:v>32.584281853988855</c:v>
                </c:pt>
                <c:pt idx="62">
                  <c:v>14.225129990292116</c:v>
                </c:pt>
                <c:pt idx="63">
                  <c:v>32.161892432011236</c:v>
                </c:pt>
                <c:pt idx="64">
                  <c:v>19.047410129355669</c:v>
                </c:pt>
                <c:pt idx="65">
                  <c:v>11.465796597094146</c:v>
                </c:pt>
                <c:pt idx="66">
                  <c:v>11.064971010030435</c:v>
                </c:pt>
                <c:pt idx="67">
                  <c:v>11.064971010030435</c:v>
                </c:pt>
                <c:pt idx="68">
                  <c:v>11.064971010030435</c:v>
                </c:pt>
                <c:pt idx="69">
                  <c:v>33.027926793609474</c:v>
                </c:pt>
                <c:pt idx="70">
                  <c:v>27.514896986075588</c:v>
                </c:pt>
                <c:pt idx="71">
                  <c:v>1</c:v>
                </c:pt>
                <c:pt idx="72">
                  <c:v>49.919796374605177</c:v>
                </c:pt>
                <c:pt idx="73">
                  <c:v>29.727524422224334</c:v>
                </c:pt>
                <c:pt idx="74">
                  <c:v>19.280353642751894</c:v>
                </c:pt>
                <c:pt idx="75">
                  <c:v>115.38946560138791</c:v>
                </c:pt>
                <c:pt idx="76">
                  <c:v>24.721561533490931</c:v>
                </c:pt>
                <c:pt idx="77">
                  <c:v>44.89506612574921</c:v>
                </c:pt>
                <c:pt idx="78">
                  <c:v>27.947220421584735</c:v>
                </c:pt>
                <c:pt idx="79">
                  <c:v>57.312291722863172</c:v>
                </c:pt>
                <c:pt idx="80">
                  <c:v>39.664886480187697</c:v>
                </c:pt>
                <c:pt idx="81">
                  <c:v>51.252999348628443</c:v>
                </c:pt>
                <c:pt idx="82">
                  <c:v>119.05419956978037</c:v>
                </c:pt>
                <c:pt idx="83">
                  <c:v>58.28266103730887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BB8-4409-AD6E-B44759392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2080"/>
        <c:axId val="103804080"/>
      </c:scatterChart>
      <c:valAx>
        <c:axId val="103732080"/>
        <c:scaling>
          <c:logBase val="10"/>
          <c:orientation val="minMax"/>
          <c:max val="1000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VTAC (L/s.p)</a:t>
                </a:r>
              </a:p>
            </c:rich>
          </c:tx>
          <c:layout>
            <c:manualLayout>
              <c:xMode val="edge"/>
              <c:yMode val="edge"/>
              <c:x val="0.46659965070615322"/>
              <c:y val="0.90562536453776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4080"/>
        <c:crosses val="autoZero"/>
        <c:crossBetween val="midCat"/>
        <c:majorUnit val="10"/>
      </c:valAx>
      <c:valAx>
        <c:axId val="103804080"/>
        <c:scaling>
          <c:logBase val="10"/>
          <c:orientation val="minMax"/>
          <c:max val="2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aseline="0"/>
                  <a:t>Clean air equivalent </a:t>
                </a:r>
                <a:r>
                  <a:rPr lang="en-US" sz="2800"/>
                  <a:t>(L/s.p) </a:t>
                </a:r>
              </a:p>
            </c:rich>
          </c:tx>
          <c:layout>
            <c:manualLayout>
              <c:xMode val="edge"/>
              <c:yMode val="edge"/>
              <c:x val="2.0232678527640796E-2"/>
              <c:y val="8.056758530183727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32080"/>
        <c:crossesAt val="0.1"/>
        <c:crossBetween val="midCat"/>
        <c:majorUnit val="10"/>
      </c:valAx>
      <c:spPr>
        <a:noFill/>
        <a:ln w="25400"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6257387965393211"/>
          <c:y val="2.6901246719160107E-2"/>
          <c:w val="0.29862411295810248"/>
          <c:h val="0.12617982648002332"/>
        </c:manualLayout>
      </c:layout>
      <c:overlay val="0"/>
      <c:spPr>
        <a:solidFill>
          <a:srgbClr val="00B0F0">
            <a:alpha val="20000"/>
          </a:srgb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51295324195583"/>
          <c:y val="6.0190735694822889E-2"/>
          <c:w val="0.73882120637698079"/>
          <c:h val="0.74021890492855069"/>
        </c:manualLayout>
      </c:layout>
      <c:scatterChart>
        <c:scatterStyle val="lineMarker"/>
        <c:varyColors val="0"/>
        <c:ser>
          <c:idx val="0"/>
          <c:order val="0"/>
          <c:tx>
            <c:v>qc ASHRAE 62.1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19050">
                <a:solidFill>
                  <a:srgbClr val="4472C4"/>
                </a:solidFill>
              </a:ln>
              <a:effectLst/>
            </c:spPr>
          </c:marker>
          <c:trendline>
            <c:spPr>
              <a:ln w="34925" cap="rnd">
                <a:solidFill>
                  <a:schemeClr val="accent1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'Fig S4ab. ASHRAE 62.1'!$J$4:$J$87</c:f>
              <c:numCache>
                <c:formatCode>0.000</c:formatCode>
                <c:ptCount val="8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30</c:v>
                </c:pt>
                <c:pt idx="5">
                  <c:v>150</c:v>
                </c:pt>
                <c:pt idx="6">
                  <c:v>150</c:v>
                </c:pt>
                <c:pt idx="7">
                  <c:v>6</c:v>
                </c:pt>
                <c:pt idx="8">
                  <c:v>7.5</c:v>
                </c:pt>
                <c:pt idx="9">
                  <c:v>10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60</c:v>
                </c:pt>
                <c:pt idx="16" formatCode="0.0">
                  <c:v>2</c:v>
                </c:pt>
                <c:pt idx="17" formatCode="0.0">
                  <c:v>3</c:v>
                </c:pt>
                <c:pt idx="18" formatCode="0.0">
                  <c:v>3</c:v>
                </c:pt>
                <c:pt idx="19" formatCode="0.0">
                  <c:v>3</c:v>
                </c:pt>
                <c:pt idx="20" formatCode="0.0">
                  <c:v>3</c:v>
                </c:pt>
                <c:pt idx="21" formatCode="0.0">
                  <c:v>4.2857142857142856</c:v>
                </c:pt>
                <c:pt idx="22" formatCode="0.0">
                  <c:v>4.6153846153846159</c:v>
                </c:pt>
                <c:pt idx="23" formatCode="0.0">
                  <c:v>6</c:v>
                </c:pt>
                <c:pt idx="24" formatCode="0.0">
                  <c:v>7.5</c:v>
                </c:pt>
                <c:pt idx="25" formatCode="0.0">
                  <c:v>7.5</c:v>
                </c:pt>
                <c:pt idx="26" formatCode="0.0">
                  <c:v>8.5714285714285712</c:v>
                </c:pt>
                <c:pt idx="27" formatCode="0.0">
                  <c:v>8.5714285714285712</c:v>
                </c:pt>
                <c:pt idx="28" formatCode="0.0">
                  <c:v>12</c:v>
                </c:pt>
                <c:pt idx="29" formatCode="0.0">
                  <c:v>12</c:v>
                </c:pt>
                <c:pt idx="30" formatCode="0.0">
                  <c:v>12</c:v>
                </c:pt>
                <c:pt idx="31" formatCode="0.0">
                  <c:v>12</c:v>
                </c:pt>
                <c:pt idx="32" formatCode="0.0">
                  <c:v>12</c:v>
                </c:pt>
                <c:pt idx="33" formatCode="0.0">
                  <c:v>12</c:v>
                </c:pt>
                <c:pt idx="34" formatCode="0.0">
                  <c:v>12</c:v>
                </c:pt>
                <c:pt idx="35" formatCode="0.0">
                  <c:v>15</c:v>
                </c:pt>
                <c:pt idx="36" formatCode="0.0">
                  <c:v>15</c:v>
                </c:pt>
                <c:pt idx="37" formatCode="0.0">
                  <c:v>15</c:v>
                </c:pt>
                <c:pt idx="38" formatCode="0.0">
                  <c:v>15</c:v>
                </c:pt>
                <c:pt idx="39" formatCode="0.0">
                  <c:v>15</c:v>
                </c:pt>
                <c:pt idx="40" formatCode="0.0">
                  <c:v>15</c:v>
                </c:pt>
                <c:pt idx="41" formatCode="0.0">
                  <c:v>15</c:v>
                </c:pt>
                <c:pt idx="42" formatCode="0.0">
                  <c:v>15</c:v>
                </c:pt>
                <c:pt idx="43" formatCode="0.0">
                  <c:v>15</c:v>
                </c:pt>
                <c:pt idx="44" formatCode="0.0">
                  <c:v>20</c:v>
                </c:pt>
                <c:pt idx="45" formatCode="0.0">
                  <c:v>30</c:v>
                </c:pt>
                <c:pt idx="46" formatCode="0.0">
                  <c:v>30</c:v>
                </c:pt>
                <c:pt idx="47" formatCode="0.0">
                  <c:v>30</c:v>
                </c:pt>
                <c:pt idx="48" formatCode="0.0">
                  <c:v>30</c:v>
                </c:pt>
                <c:pt idx="49" formatCode="0.0">
                  <c:v>30</c:v>
                </c:pt>
                <c:pt idx="50" formatCode="0.0">
                  <c:v>30</c:v>
                </c:pt>
                <c:pt idx="51" formatCode="0.0">
                  <c:v>30</c:v>
                </c:pt>
                <c:pt idx="52" formatCode="0.0">
                  <c:v>37.5</c:v>
                </c:pt>
                <c:pt idx="53" formatCode="0.0">
                  <c:v>42.857142857142861</c:v>
                </c:pt>
                <c:pt idx="54" formatCode="0.0">
                  <c:v>150</c:v>
                </c:pt>
                <c:pt idx="55" formatCode="0.0">
                  <c:v>2</c:v>
                </c:pt>
                <c:pt idx="56" formatCode="0.0">
                  <c:v>2</c:v>
                </c:pt>
                <c:pt idx="57" formatCode="0.0">
                  <c:v>2.5</c:v>
                </c:pt>
                <c:pt idx="58" formatCode="0.0">
                  <c:v>2.5</c:v>
                </c:pt>
                <c:pt idx="59" formatCode="0.0">
                  <c:v>3</c:v>
                </c:pt>
                <c:pt idx="60" formatCode="0.0">
                  <c:v>4.2857142857142856</c:v>
                </c:pt>
                <c:pt idx="61" formatCode="0.0">
                  <c:v>4.2857142857142856</c:v>
                </c:pt>
                <c:pt idx="62" formatCode="0.0">
                  <c:v>6</c:v>
                </c:pt>
                <c:pt idx="63" formatCode="0.0">
                  <c:v>7.5</c:v>
                </c:pt>
                <c:pt idx="64" formatCode="0.0">
                  <c:v>7.5</c:v>
                </c:pt>
                <c:pt idx="65" formatCode="0.0">
                  <c:v>10</c:v>
                </c:pt>
                <c:pt idx="66" formatCode="0.0">
                  <c:v>12</c:v>
                </c:pt>
                <c:pt idx="67" formatCode="0.0">
                  <c:v>12</c:v>
                </c:pt>
                <c:pt idx="68" formatCode="0.0">
                  <c:v>12</c:v>
                </c:pt>
                <c:pt idx="69" formatCode="0.0">
                  <c:v>15</c:v>
                </c:pt>
                <c:pt idx="70" formatCode="0.0">
                  <c:v>42.857142857142861</c:v>
                </c:pt>
                <c:pt idx="71" formatCode="0.0">
                  <c:v>75</c:v>
                </c:pt>
                <c:pt idx="72">
                  <c:v>2.5</c:v>
                </c:pt>
                <c:pt idx="73">
                  <c:v>6</c:v>
                </c:pt>
                <c:pt idx="74">
                  <c:v>12</c:v>
                </c:pt>
                <c:pt idx="75">
                  <c:v>15</c:v>
                </c:pt>
                <c:pt idx="76">
                  <c:v>20</c:v>
                </c:pt>
                <c:pt idx="77">
                  <c:v>20</c:v>
                </c:pt>
                <c:pt idx="78">
                  <c:v>30</c:v>
                </c:pt>
                <c:pt idx="79">
                  <c:v>42.857142857142861</c:v>
                </c:pt>
                <c:pt idx="80">
                  <c:v>15</c:v>
                </c:pt>
                <c:pt idx="81">
                  <c:v>30</c:v>
                </c:pt>
                <c:pt idx="82">
                  <c:v>42.857142857142861</c:v>
                </c:pt>
                <c:pt idx="83">
                  <c:v>60</c:v>
                </c:pt>
              </c:numCache>
            </c:numRef>
          </c:xVal>
          <c:yVal>
            <c:numRef>
              <c:f>'Fig S4ab. ASHRAE 62.1'!$K$4:$K$87</c:f>
              <c:numCache>
                <c:formatCode>0.000</c:formatCode>
                <c:ptCount val="84"/>
                <c:pt idx="0">
                  <c:v>3.2166666666666668</c:v>
                </c:pt>
                <c:pt idx="1">
                  <c:v>4.291666666666667</c:v>
                </c:pt>
                <c:pt idx="2">
                  <c:v>7.3833333333333329</c:v>
                </c:pt>
                <c:pt idx="3">
                  <c:v>13.375</c:v>
                </c:pt>
                <c:pt idx="4">
                  <c:v>13.25</c:v>
                </c:pt>
                <c:pt idx="5">
                  <c:v>71.25</c:v>
                </c:pt>
                <c:pt idx="6">
                  <c:v>56.25</c:v>
                </c:pt>
                <c:pt idx="7">
                  <c:v>5.95</c:v>
                </c:pt>
                <c:pt idx="8">
                  <c:v>6.4874999999999998</c:v>
                </c:pt>
                <c:pt idx="9">
                  <c:v>6.0833333333333339</c:v>
                </c:pt>
                <c:pt idx="10">
                  <c:v>7.875</c:v>
                </c:pt>
                <c:pt idx="11">
                  <c:v>11.875</c:v>
                </c:pt>
                <c:pt idx="12">
                  <c:v>13.375</c:v>
                </c:pt>
                <c:pt idx="13">
                  <c:v>13.375</c:v>
                </c:pt>
                <c:pt idx="14">
                  <c:v>13.375</c:v>
                </c:pt>
                <c:pt idx="15">
                  <c:v>24</c:v>
                </c:pt>
                <c:pt idx="16">
                  <c:v>4.5166666666666666</c:v>
                </c:pt>
                <c:pt idx="17">
                  <c:v>4.875</c:v>
                </c:pt>
                <c:pt idx="18">
                  <c:v>5.4750000000000005</c:v>
                </c:pt>
                <c:pt idx="19">
                  <c:v>5.4750000000000005</c:v>
                </c:pt>
                <c:pt idx="20">
                  <c:v>4.875</c:v>
                </c:pt>
                <c:pt idx="21">
                  <c:v>6.1928571428571431</c:v>
                </c:pt>
                <c:pt idx="22">
                  <c:v>5.453846153846154</c:v>
                </c:pt>
                <c:pt idx="23">
                  <c:v>5.25</c:v>
                </c:pt>
                <c:pt idx="24">
                  <c:v>8.4375</c:v>
                </c:pt>
                <c:pt idx="25">
                  <c:v>12.6875</c:v>
                </c:pt>
                <c:pt idx="26">
                  <c:v>8.9285714285714288</c:v>
                </c:pt>
                <c:pt idx="27">
                  <c:v>8.071428571428573</c:v>
                </c:pt>
                <c:pt idx="28">
                  <c:v>10.5</c:v>
                </c:pt>
                <c:pt idx="29">
                  <c:v>10.5</c:v>
                </c:pt>
                <c:pt idx="30">
                  <c:v>11.7</c:v>
                </c:pt>
                <c:pt idx="31">
                  <c:v>10.5</c:v>
                </c:pt>
                <c:pt idx="32">
                  <c:v>11.7</c:v>
                </c:pt>
                <c:pt idx="33">
                  <c:v>11.7</c:v>
                </c:pt>
                <c:pt idx="34">
                  <c:v>6.8000000000000007</c:v>
                </c:pt>
                <c:pt idx="35">
                  <c:v>13.375</c:v>
                </c:pt>
                <c:pt idx="36">
                  <c:v>13.375</c:v>
                </c:pt>
                <c:pt idx="37">
                  <c:v>10.675000000000001</c:v>
                </c:pt>
                <c:pt idx="38">
                  <c:v>10.675000000000001</c:v>
                </c:pt>
                <c:pt idx="39">
                  <c:v>13.375</c:v>
                </c:pt>
                <c:pt idx="40">
                  <c:v>13.375</c:v>
                </c:pt>
                <c:pt idx="41">
                  <c:v>13.375</c:v>
                </c:pt>
                <c:pt idx="42">
                  <c:v>13.375</c:v>
                </c:pt>
                <c:pt idx="43">
                  <c:v>13.375</c:v>
                </c:pt>
                <c:pt idx="44">
                  <c:v>10.966666666666667</c:v>
                </c:pt>
                <c:pt idx="45">
                  <c:v>20.75</c:v>
                </c:pt>
                <c:pt idx="46">
                  <c:v>16.25</c:v>
                </c:pt>
                <c:pt idx="47">
                  <c:v>16.25</c:v>
                </c:pt>
                <c:pt idx="48">
                  <c:v>19.25</c:v>
                </c:pt>
                <c:pt idx="49">
                  <c:v>16.25</c:v>
                </c:pt>
                <c:pt idx="50">
                  <c:v>20.55</c:v>
                </c:pt>
                <c:pt idx="51">
                  <c:v>16.25</c:v>
                </c:pt>
                <c:pt idx="52">
                  <c:v>17.237500000000001</c:v>
                </c:pt>
                <c:pt idx="53">
                  <c:v>33.928571428571431</c:v>
                </c:pt>
                <c:pt idx="54">
                  <c:v>73.75</c:v>
                </c:pt>
                <c:pt idx="55">
                  <c:v>3.2166666666666668</c:v>
                </c:pt>
                <c:pt idx="56">
                  <c:v>4.5166666666666666</c:v>
                </c:pt>
                <c:pt idx="57">
                  <c:v>3.3958333333333335</c:v>
                </c:pt>
                <c:pt idx="58">
                  <c:v>3.3958333333333335</c:v>
                </c:pt>
                <c:pt idx="59">
                  <c:v>11.075000000000001</c:v>
                </c:pt>
                <c:pt idx="60">
                  <c:v>4.0357142857142865</c:v>
                </c:pt>
                <c:pt idx="61">
                  <c:v>6.5357142857142865</c:v>
                </c:pt>
                <c:pt idx="62">
                  <c:v>4.6500000000000004</c:v>
                </c:pt>
                <c:pt idx="63">
                  <c:v>7.2374999999999998</c:v>
                </c:pt>
                <c:pt idx="64">
                  <c:v>6.4874999999999998</c:v>
                </c:pt>
                <c:pt idx="65">
                  <c:v>6.0833333333333339</c:v>
                </c:pt>
                <c:pt idx="66">
                  <c:v>11.7</c:v>
                </c:pt>
                <c:pt idx="67">
                  <c:v>8.1</c:v>
                </c:pt>
                <c:pt idx="68">
                  <c:v>15.5</c:v>
                </c:pt>
                <c:pt idx="69">
                  <c:v>13.375</c:v>
                </c:pt>
                <c:pt idx="70">
                  <c:v>23.442857142857143</c:v>
                </c:pt>
                <c:pt idx="71">
                  <c:v>29.375</c:v>
                </c:pt>
                <c:pt idx="72">
                  <c:v>5.1958333333333329</c:v>
                </c:pt>
                <c:pt idx="73">
                  <c:v>4.6500000000000004</c:v>
                </c:pt>
                <c:pt idx="74">
                  <c:v>8</c:v>
                </c:pt>
                <c:pt idx="75">
                  <c:v>12.175000000000001</c:v>
                </c:pt>
                <c:pt idx="76">
                  <c:v>9.6666666666666679</c:v>
                </c:pt>
                <c:pt idx="77">
                  <c:v>12.966666666666667</c:v>
                </c:pt>
                <c:pt idx="78">
                  <c:v>16.25</c:v>
                </c:pt>
                <c:pt idx="79">
                  <c:v>28.928571428571427</c:v>
                </c:pt>
                <c:pt idx="80">
                  <c:v>7.875</c:v>
                </c:pt>
                <c:pt idx="81">
                  <c:v>13.25</c:v>
                </c:pt>
                <c:pt idx="82">
                  <c:v>28.928571428571473</c:v>
                </c:pt>
                <c:pt idx="83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18-400C-93E8-CB33EB5142C1}"/>
            </c:ext>
          </c:extLst>
        </c:ser>
        <c:ser>
          <c:idx val="1"/>
          <c:order val="1"/>
          <c:tx>
            <c:v>New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9050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trendline>
            <c:spPr>
              <a:ln w="34925" cap="rnd">
                <a:solidFill>
                  <a:schemeClr val="accent2"/>
                </a:solidFill>
                <a:prstDash val="sysDash"/>
              </a:ln>
              <a:effectLst/>
            </c:spPr>
            <c:trendlineType val="power"/>
            <c:dispRSqr val="0"/>
            <c:dispEq val="0"/>
          </c:trendline>
          <c:xVal>
            <c:numRef>
              <c:f>'Fig S4ab. ASHRAE 62.1'!$J$4:$J$87</c:f>
              <c:numCache>
                <c:formatCode>0.000</c:formatCode>
                <c:ptCount val="84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30</c:v>
                </c:pt>
                <c:pt idx="5">
                  <c:v>150</c:v>
                </c:pt>
                <c:pt idx="6">
                  <c:v>150</c:v>
                </c:pt>
                <c:pt idx="7">
                  <c:v>6</c:v>
                </c:pt>
                <c:pt idx="8">
                  <c:v>7.5</c:v>
                </c:pt>
                <c:pt idx="9">
                  <c:v>10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60</c:v>
                </c:pt>
                <c:pt idx="16" formatCode="0.0">
                  <c:v>2</c:v>
                </c:pt>
                <c:pt idx="17" formatCode="0.0">
                  <c:v>3</c:v>
                </c:pt>
                <c:pt idx="18" formatCode="0.0">
                  <c:v>3</c:v>
                </c:pt>
                <c:pt idx="19" formatCode="0.0">
                  <c:v>3</c:v>
                </c:pt>
                <c:pt idx="20" formatCode="0.0">
                  <c:v>3</c:v>
                </c:pt>
                <c:pt idx="21" formatCode="0.0">
                  <c:v>4.2857142857142856</c:v>
                </c:pt>
                <c:pt idx="22" formatCode="0.0">
                  <c:v>4.6153846153846159</c:v>
                </c:pt>
                <c:pt idx="23" formatCode="0.0">
                  <c:v>6</c:v>
                </c:pt>
                <c:pt idx="24" formatCode="0.0">
                  <c:v>7.5</c:v>
                </c:pt>
                <c:pt idx="25" formatCode="0.0">
                  <c:v>7.5</c:v>
                </c:pt>
                <c:pt idx="26" formatCode="0.0">
                  <c:v>8.5714285714285712</c:v>
                </c:pt>
                <c:pt idx="27" formatCode="0.0">
                  <c:v>8.5714285714285712</c:v>
                </c:pt>
                <c:pt idx="28" formatCode="0.0">
                  <c:v>12</c:v>
                </c:pt>
                <c:pt idx="29" formatCode="0.0">
                  <c:v>12</c:v>
                </c:pt>
                <c:pt idx="30" formatCode="0.0">
                  <c:v>12</c:v>
                </c:pt>
                <c:pt idx="31" formatCode="0.0">
                  <c:v>12</c:v>
                </c:pt>
                <c:pt idx="32" formatCode="0.0">
                  <c:v>12</c:v>
                </c:pt>
                <c:pt idx="33" formatCode="0.0">
                  <c:v>12</c:v>
                </c:pt>
                <c:pt idx="34" formatCode="0.0">
                  <c:v>12</c:v>
                </c:pt>
                <c:pt idx="35" formatCode="0.0">
                  <c:v>15</c:v>
                </c:pt>
                <c:pt idx="36" formatCode="0.0">
                  <c:v>15</c:v>
                </c:pt>
                <c:pt idx="37" formatCode="0.0">
                  <c:v>15</c:v>
                </c:pt>
                <c:pt idx="38" formatCode="0.0">
                  <c:v>15</c:v>
                </c:pt>
                <c:pt idx="39" formatCode="0.0">
                  <c:v>15</c:v>
                </c:pt>
                <c:pt idx="40" formatCode="0.0">
                  <c:v>15</c:v>
                </c:pt>
                <c:pt idx="41" formatCode="0.0">
                  <c:v>15</c:v>
                </c:pt>
                <c:pt idx="42" formatCode="0.0">
                  <c:v>15</c:v>
                </c:pt>
                <c:pt idx="43" formatCode="0.0">
                  <c:v>15</c:v>
                </c:pt>
                <c:pt idx="44" formatCode="0.0">
                  <c:v>20</c:v>
                </c:pt>
                <c:pt idx="45" formatCode="0.0">
                  <c:v>30</c:v>
                </c:pt>
                <c:pt idx="46" formatCode="0.0">
                  <c:v>30</c:v>
                </c:pt>
                <c:pt idx="47" formatCode="0.0">
                  <c:v>30</c:v>
                </c:pt>
                <c:pt idx="48" formatCode="0.0">
                  <c:v>30</c:v>
                </c:pt>
                <c:pt idx="49" formatCode="0.0">
                  <c:v>30</c:v>
                </c:pt>
                <c:pt idx="50" formatCode="0.0">
                  <c:v>30</c:v>
                </c:pt>
                <c:pt idx="51" formatCode="0.0">
                  <c:v>30</c:v>
                </c:pt>
                <c:pt idx="52" formatCode="0.0">
                  <c:v>37.5</c:v>
                </c:pt>
                <c:pt idx="53" formatCode="0.0">
                  <c:v>42.857142857142861</c:v>
                </c:pt>
                <c:pt idx="54" formatCode="0.0">
                  <c:v>150</c:v>
                </c:pt>
                <c:pt idx="55" formatCode="0.0">
                  <c:v>2</c:v>
                </c:pt>
                <c:pt idx="56" formatCode="0.0">
                  <c:v>2</c:v>
                </c:pt>
                <c:pt idx="57" formatCode="0.0">
                  <c:v>2.5</c:v>
                </c:pt>
                <c:pt idx="58" formatCode="0.0">
                  <c:v>2.5</c:v>
                </c:pt>
                <c:pt idx="59" formatCode="0.0">
                  <c:v>3</c:v>
                </c:pt>
                <c:pt idx="60" formatCode="0.0">
                  <c:v>4.2857142857142856</c:v>
                </c:pt>
                <c:pt idx="61" formatCode="0.0">
                  <c:v>4.2857142857142856</c:v>
                </c:pt>
                <c:pt idx="62" formatCode="0.0">
                  <c:v>6</c:v>
                </c:pt>
                <c:pt idx="63" formatCode="0.0">
                  <c:v>7.5</c:v>
                </c:pt>
                <c:pt idx="64" formatCode="0.0">
                  <c:v>7.5</c:v>
                </c:pt>
                <c:pt idx="65" formatCode="0.0">
                  <c:v>10</c:v>
                </c:pt>
                <c:pt idx="66" formatCode="0.0">
                  <c:v>12</c:v>
                </c:pt>
                <c:pt idx="67" formatCode="0.0">
                  <c:v>12</c:v>
                </c:pt>
                <c:pt idx="68" formatCode="0.0">
                  <c:v>12</c:v>
                </c:pt>
                <c:pt idx="69" formatCode="0.0">
                  <c:v>15</c:v>
                </c:pt>
                <c:pt idx="70" formatCode="0.0">
                  <c:v>42.857142857142861</c:v>
                </c:pt>
                <c:pt idx="71" formatCode="0.0">
                  <c:v>75</c:v>
                </c:pt>
                <c:pt idx="72">
                  <c:v>2.5</c:v>
                </c:pt>
                <c:pt idx="73">
                  <c:v>6</c:v>
                </c:pt>
                <c:pt idx="74">
                  <c:v>12</c:v>
                </c:pt>
                <c:pt idx="75">
                  <c:v>15</c:v>
                </c:pt>
                <c:pt idx="76">
                  <c:v>20</c:v>
                </c:pt>
                <c:pt idx="77">
                  <c:v>20</c:v>
                </c:pt>
                <c:pt idx="78">
                  <c:v>30</c:v>
                </c:pt>
                <c:pt idx="79">
                  <c:v>42.857142857142861</c:v>
                </c:pt>
                <c:pt idx="80">
                  <c:v>15</c:v>
                </c:pt>
                <c:pt idx="81">
                  <c:v>30</c:v>
                </c:pt>
                <c:pt idx="82">
                  <c:v>42.857142857142861</c:v>
                </c:pt>
                <c:pt idx="83">
                  <c:v>60</c:v>
                </c:pt>
              </c:numCache>
            </c:numRef>
          </c:xVal>
          <c:yVal>
            <c:numRef>
              <c:f>'Fig S4ab. ASHRAE 62.1'!$U$4:$U$87</c:f>
              <c:numCache>
                <c:formatCode>General</c:formatCode>
                <c:ptCount val="8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8.4691289127370872</c:v>
                </c:pt>
                <c:pt idx="17">
                  <c:v>8.1141587085041387</c:v>
                </c:pt>
                <c:pt idx="18">
                  <c:v>9.1385929349055584</c:v>
                </c:pt>
                <c:pt idx="19">
                  <c:v>9.1385929349055584</c:v>
                </c:pt>
                <c:pt idx="20">
                  <c:v>16.755297344419048</c:v>
                </c:pt>
                <c:pt idx="21">
                  <c:v>8.6457062993563643</c:v>
                </c:pt>
                <c:pt idx="22">
                  <c:v>7.4672211655815559</c:v>
                </c:pt>
                <c:pt idx="23">
                  <c:v>5.2291877533948838</c:v>
                </c:pt>
                <c:pt idx="24">
                  <c:v>16.682461027193753</c:v>
                </c:pt>
                <c:pt idx="25">
                  <c:v>38.094820258711358</c:v>
                </c:pt>
                <c:pt idx="26">
                  <c:v>5.5685035148437976</c:v>
                </c:pt>
                <c:pt idx="27">
                  <c:v>36.731354604006007</c:v>
                </c:pt>
                <c:pt idx="28">
                  <c:v>3.5518657322265748</c:v>
                </c:pt>
                <c:pt idx="29">
                  <c:v>1.5282448727655453</c:v>
                </c:pt>
                <c:pt idx="30">
                  <c:v>12.089299659499829</c:v>
                </c:pt>
                <c:pt idx="31">
                  <c:v>1.5282448727655453</c:v>
                </c:pt>
                <c:pt idx="32">
                  <c:v>18.470537680621781</c:v>
                </c:pt>
                <c:pt idx="33">
                  <c:v>13.166489995861321</c:v>
                </c:pt>
                <c:pt idx="34">
                  <c:v>1.5282448727655453</c:v>
                </c:pt>
                <c:pt idx="35">
                  <c:v>10.586600606662849</c:v>
                </c:pt>
                <c:pt idx="36">
                  <c:v>10.586600606662849</c:v>
                </c:pt>
                <c:pt idx="37">
                  <c:v>10.586600606662849</c:v>
                </c:pt>
                <c:pt idx="38">
                  <c:v>2.8012984240824328</c:v>
                </c:pt>
                <c:pt idx="39">
                  <c:v>8.89485404831788</c:v>
                </c:pt>
                <c:pt idx="40">
                  <c:v>17.128192658498399</c:v>
                </c:pt>
                <c:pt idx="41">
                  <c:v>5.9767617824254176</c:v>
                </c:pt>
                <c:pt idx="42">
                  <c:v>4.753400680068804</c:v>
                </c:pt>
                <c:pt idx="43">
                  <c:v>4.753400680068804</c:v>
                </c:pt>
                <c:pt idx="44">
                  <c:v>1</c:v>
                </c:pt>
                <c:pt idx="45">
                  <c:v>17.78970809663576</c:v>
                </c:pt>
                <c:pt idx="46">
                  <c:v>5.6025968481648576</c:v>
                </c:pt>
                <c:pt idx="47">
                  <c:v>5.6025968481648576</c:v>
                </c:pt>
                <c:pt idx="48">
                  <c:v>1</c:v>
                </c:pt>
                <c:pt idx="49">
                  <c:v>1</c:v>
                </c:pt>
                <c:pt idx="50">
                  <c:v>7.6011869643442438</c:v>
                </c:pt>
                <c:pt idx="51">
                  <c:v>1</c:v>
                </c:pt>
                <c:pt idx="52">
                  <c:v>1</c:v>
                </c:pt>
                <c:pt idx="53">
                  <c:v>16.214127050609566</c:v>
                </c:pt>
                <c:pt idx="54">
                  <c:v>1</c:v>
                </c:pt>
                <c:pt idx="55">
                  <c:v>14.804707204430446</c:v>
                </c:pt>
                <c:pt idx="56">
                  <c:v>32.839810224673336</c:v>
                </c:pt>
                <c:pt idx="57">
                  <c:v>12.732220995678823</c:v>
                </c:pt>
                <c:pt idx="58">
                  <c:v>14.741741993924036</c:v>
                </c:pt>
                <c:pt idx="59">
                  <c:v>77.785592915584516</c:v>
                </c:pt>
                <c:pt idx="60">
                  <c:v>14.492337480038367</c:v>
                </c:pt>
                <c:pt idx="61">
                  <c:v>32.584281853988855</c:v>
                </c:pt>
                <c:pt idx="62">
                  <c:v>14.225129990292116</c:v>
                </c:pt>
                <c:pt idx="63">
                  <c:v>32.161892432011236</c:v>
                </c:pt>
                <c:pt idx="64">
                  <c:v>19.047410129355669</c:v>
                </c:pt>
                <c:pt idx="65">
                  <c:v>11.465796597094146</c:v>
                </c:pt>
                <c:pt idx="66">
                  <c:v>11.064971010030435</c:v>
                </c:pt>
                <c:pt idx="67">
                  <c:v>11.064971010030435</c:v>
                </c:pt>
                <c:pt idx="68">
                  <c:v>11.064971010030435</c:v>
                </c:pt>
                <c:pt idx="69">
                  <c:v>33.027926793609474</c:v>
                </c:pt>
                <c:pt idx="70">
                  <c:v>27.514896986075588</c:v>
                </c:pt>
                <c:pt idx="71">
                  <c:v>1</c:v>
                </c:pt>
                <c:pt idx="72">
                  <c:v>49.919796374605177</c:v>
                </c:pt>
                <c:pt idx="73">
                  <c:v>29.727524422224334</c:v>
                </c:pt>
                <c:pt idx="74">
                  <c:v>19.280353642751894</c:v>
                </c:pt>
                <c:pt idx="75">
                  <c:v>115.38946560138791</c:v>
                </c:pt>
                <c:pt idx="76">
                  <c:v>24.721561533490931</c:v>
                </c:pt>
                <c:pt idx="77">
                  <c:v>44.89506612574921</c:v>
                </c:pt>
                <c:pt idx="78">
                  <c:v>27.947220421584735</c:v>
                </c:pt>
                <c:pt idx="79">
                  <c:v>57.312291722863172</c:v>
                </c:pt>
                <c:pt idx="80">
                  <c:v>39.664886480187697</c:v>
                </c:pt>
                <c:pt idx="81">
                  <c:v>51.252999348628443</c:v>
                </c:pt>
                <c:pt idx="82">
                  <c:v>119.05419956978037</c:v>
                </c:pt>
                <c:pt idx="83">
                  <c:v>58.28266103730887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18-400C-93E8-CB33EB514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2080"/>
        <c:axId val="103804080"/>
      </c:scatterChart>
      <c:valAx>
        <c:axId val="103732080"/>
        <c:scaling>
          <c:logBase val="10"/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Spaciousness (m</a:t>
                </a:r>
                <a:r>
                  <a:rPr lang="en-US" sz="2800" baseline="30000"/>
                  <a:t>3</a:t>
                </a:r>
                <a:r>
                  <a:rPr lang="en-US" sz="2800"/>
                  <a:t>/person)</a:t>
                </a:r>
              </a:p>
            </c:rich>
          </c:tx>
          <c:layout>
            <c:manualLayout>
              <c:xMode val="edge"/>
              <c:yMode val="edge"/>
              <c:x val="0.34072709682220736"/>
              <c:y val="0.907940179352580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4080"/>
        <c:crosses val="autoZero"/>
        <c:crossBetween val="midCat"/>
      </c:valAx>
      <c:valAx>
        <c:axId val="103804080"/>
        <c:scaling>
          <c:logBase val="10"/>
          <c:orientation val="minMax"/>
          <c:max val="2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aseline="0"/>
                  <a:t>Clean air equivalent </a:t>
                </a:r>
                <a:r>
                  <a:rPr lang="en-US" sz="2800"/>
                  <a:t>(L/s.p) </a:t>
                </a:r>
              </a:p>
            </c:rich>
          </c:tx>
          <c:layout>
            <c:manualLayout>
              <c:xMode val="edge"/>
              <c:yMode val="edge"/>
              <c:x val="2.1793282784096431E-2"/>
              <c:y val="7.985400262467191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32080"/>
        <c:crossesAt val="0.1"/>
        <c:crossBetween val="midCat"/>
        <c:majorUnit val="10"/>
      </c:valAx>
      <c:spPr>
        <a:noFill/>
        <a:ln w="25400"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6323932889399462"/>
          <c:y val="3.0580161854768154E-2"/>
          <c:w val="0.29852192087100216"/>
          <c:h val="0.12353401137357831"/>
        </c:manualLayout>
      </c:layout>
      <c:overlay val="0"/>
      <c:spPr>
        <a:solidFill>
          <a:schemeClr val="accent1">
            <a:lumMod val="50000"/>
            <a:alpha val="25098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310696</xdr:colOff>
      <xdr:row>9</xdr:row>
      <xdr:rowOff>84817</xdr:rowOff>
    </xdr:from>
    <xdr:to>
      <xdr:col>26</xdr:col>
      <xdr:colOff>310696</xdr:colOff>
      <xdr:row>41</xdr:row>
      <xdr:rowOff>84817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1BF6DE-D4A9-48FC-93A5-E602B8D8F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17183</xdr:colOff>
      <xdr:row>5</xdr:row>
      <xdr:rowOff>154307</xdr:rowOff>
    </xdr:from>
    <xdr:ext cx="1664238" cy="5093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6E60975-0E5D-4570-3ADA-C0FEA1B7AFF6}"/>
                </a:ext>
              </a:extLst>
            </xdr:cNvPr>
            <xdr:cNvSpPr txBox="1"/>
          </xdr:nvSpPr>
          <xdr:spPr>
            <a:xfrm>
              <a:off x="9132608" y="1640207"/>
              <a:ext cx="1664238" cy="509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6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6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𝛾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</m:sub>
                        </m:sSub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𝑒</m:t>
                            </m:r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r>
                              <m:rPr>
                                <m:sty m:val="p"/>
                              </m:rPr>
                              <a:rPr lang="el-G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Δ</m:t>
                            </m:r>
                            <m:sSub>
                              <m:sSubPr>
                                <m:ctrlPr>
                                  <a:rPr lang="el-G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0</m:t>
                                </m:r>
                              </m:sub>
                            </m:sSub>
                          </m:sup>
                        </m:sSup>
                      </m:num>
                      <m:den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1−</m:t>
                        </m:r>
                        <m:sSub>
                          <m:sSub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</m:sub>
                        </m:sSub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𝑒</m:t>
                            </m:r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  <m:r>
                              <m:rPr>
                                <m:sty m:val="p"/>
                              </m:rPr>
                              <a:rPr lang="el-GR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Δ</m:t>
                            </m:r>
                            <m:sSub>
                              <m:sSubPr>
                                <m:ctrlPr>
                                  <a:rPr lang="el-GR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</m:sup>
                        </m:sSup>
                      </m:den>
                    </m:f>
                  </m:oMath>
                </m:oMathPara>
              </a14:m>
              <a:endParaRPr lang="en-GB" sz="16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6E60975-0E5D-4570-3ADA-C0FEA1B7AFF6}"/>
                </a:ext>
              </a:extLst>
            </xdr:cNvPr>
            <xdr:cNvSpPr txBox="1"/>
          </xdr:nvSpPr>
          <xdr:spPr>
            <a:xfrm>
              <a:off x="9132608" y="1640207"/>
              <a:ext cx="1664238" cy="509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6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𝛾_</a:t>
              </a:r>
              <a:r>
                <a:rPr lang="en-US" sz="1600" b="0" i="0">
                  <a:latin typeface="Cambria Math" panose="02040503050406030204" pitchFamily="18" charset="0"/>
                </a:rPr>
                <a:t>0=(𝐶_𝑇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𝑒^(−𝑛</a:t>
              </a:r>
              <a:r>
                <a:rPr lang="el-GR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Δ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</a:t>
              </a:r>
              <a:r>
                <a:rPr lang="el-GR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0 )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600" b="0" i="0">
                  <a:latin typeface="Cambria Math" panose="02040503050406030204" pitchFamily="18" charset="0"/>
                </a:rPr>
                <a:t>1−𝐶_𝑇 𝑒^(−𝑛</a:t>
              </a:r>
              <a:r>
                <a:rPr lang="el-GR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Δ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</a:t>
              </a:r>
              <a:r>
                <a:rPr lang="el-GR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_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0 ) )</a:t>
              </a:r>
              <a:endParaRPr lang="en-GB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108056</xdr:colOff>
      <xdr:row>68</xdr:row>
      <xdr:rowOff>28812</xdr:rowOff>
    </xdr:from>
    <xdr:to>
      <xdr:col>69</xdr:col>
      <xdr:colOff>377477</xdr:colOff>
      <xdr:row>96</xdr:row>
      <xdr:rowOff>181212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C7A52A-3D68-4E2A-9602-B09A63AE0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12006</xdr:colOff>
      <xdr:row>68</xdr:row>
      <xdr:rowOff>28812</xdr:rowOff>
    </xdr:from>
    <xdr:to>
      <xdr:col>41</xdr:col>
      <xdr:colOff>321448</xdr:colOff>
      <xdr:row>96</xdr:row>
      <xdr:rowOff>181212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739DF41-0D67-4B6C-9C49-DEEEF8983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45624</xdr:colOff>
      <xdr:row>68</xdr:row>
      <xdr:rowOff>28812</xdr:rowOff>
    </xdr:from>
    <xdr:to>
      <xdr:col>55</xdr:col>
      <xdr:colOff>336656</xdr:colOff>
      <xdr:row>96</xdr:row>
      <xdr:rowOff>181212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05966B4-3BF9-44D0-AD61-3D329747C8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260646</xdr:colOff>
      <xdr:row>27</xdr:row>
      <xdr:rowOff>133959</xdr:rowOff>
    </xdr:from>
    <xdr:to>
      <xdr:col>42</xdr:col>
      <xdr:colOff>530068</xdr:colOff>
      <xdr:row>57</xdr:row>
      <xdr:rowOff>68644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9472BD1D-A098-45BB-A898-82CFA1C4D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0.82411</cdr:x>
      <cdr:y>0.12747</cdr:y>
    </cdr:from>
    <cdr:to>
      <cdr:x>0.91851</cdr:x>
      <cdr:y>0.22812</cdr:y>
    </cdr:to>
    <cdr:sp macro="" textlink="">
      <cdr:nvSpPr>
        <cdr:cNvPr id="2" name="TextBox 6">
          <a:extLst xmlns:a="http://schemas.openxmlformats.org/drawingml/2006/main">
            <a:ext uri="{FF2B5EF4-FFF2-40B4-BE49-F238E27FC236}">
              <a16:creationId xmlns:a16="http://schemas.microsoft.com/office/drawing/2014/main" id="{622A69A2-FE5C-4577-ACDB-E4B0B44500C2}"/>
            </a:ext>
          </a:extLst>
        </cdr:cNvPr>
        <cdr:cNvSpPr txBox="1"/>
      </cdr:nvSpPr>
      <cdr:spPr>
        <a:xfrm xmlns:a="http://schemas.openxmlformats.org/drawingml/2006/main">
          <a:off x="6782081" y="699325"/>
          <a:ext cx="776874" cy="55220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rgbClr val="4472C4"/>
              </a:solidFill>
            </a:rPr>
            <a:t>1 hr</a:t>
          </a:r>
        </a:p>
      </cdr:txBody>
    </cdr:sp>
  </cdr:relSizeAnchor>
  <cdr:relSizeAnchor xmlns:cdr="http://schemas.openxmlformats.org/drawingml/2006/chartDrawing">
    <cdr:from>
      <cdr:x>0.84391</cdr:x>
      <cdr:y>0.32023</cdr:y>
    </cdr:from>
    <cdr:to>
      <cdr:x>0.93831</cdr:x>
      <cdr:y>0.42088</cdr:y>
    </cdr:to>
    <cdr:sp macro="" textlink="">
      <cdr:nvSpPr>
        <cdr:cNvPr id="3" name="TextBox 15">
          <a:extLst xmlns:a="http://schemas.openxmlformats.org/drawingml/2006/main">
            <a:ext uri="{FF2B5EF4-FFF2-40B4-BE49-F238E27FC236}">
              <a16:creationId xmlns:a16="http://schemas.microsoft.com/office/drawing/2014/main" id="{D19ED616-4CA7-4220-A6F9-B77ABC9B6481}"/>
            </a:ext>
          </a:extLst>
        </cdr:cNvPr>
        <cdr:cNvSpPr txBox="1"/>
      </cdr:nvSpPr>
      <cdr:spPr>
        <a:xfrm xmlns:a="http://schemas.openxmlformats.org/drawingml/2006/main">
          <a:off x="6945001" y="1756896"/>
          <a:ext cx="776956" cy="55220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rgbClr val="7030A0"/>
              </a:solidFill>
            </a:rPr>
            <a:t>2 hr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0.22715</cdr:x>
      <cdr:y>0.44757</cdr:y>
    </cdr:from>
    <cdr:to>
      <cdr:x>0.34049</cdr:x>
      <cdr:y>0.50719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4FC4D8E-E66E-9B26-F353-FF72ED381822}"/>
            </a:ext>
          </a:extLst>
        </cdr:cNvPr>
        <cdr:cNvSpPr txBox="1"/>
      </cdr:nvSpPr>
      <cdr:spPr>
        <a:xfrm xmlns:a="http://schemas.openxmlformats.org/drawingml/2006/main">
          <a:off x="1869325" y="2455557"/>
          <a:ext cx="932743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1800"/>
            <a:t>lobbies</a:t>
          </a:r>
        </a:p>
      </cdr:txBody>
    </cdr:sp>
  </cdr:relSizeAnchor>
  <cdr:relSizeAnchor xmlns:cdr="http://schemas.openxmlformats.org/drawingml/2006/chartDrawing">
    <cdr:from>
      <cdr:x>0.31184</cdr:x>
      <cdr:y>0.35366</cdr:y>
    </cdr:from>
    <cdr:to>
      <cdr:x>0.44422</cdr:x>
      <cdr:y>0.41328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D8D0E12-108D-9E22-10EF-0A7853D00845}"/>
            </a:ext>
          </a:extLst>
        </cdr:cNvPr>
        <cdr:cNvSpPr txBox="1"/>
      </cdr:nvSpPr>
      <cdr:spPr>
        <a:xfrm xmlns:a="http://schemas.openxmlformats.org/drawingml/2006/main">
          <a:off x="2566292" y="1940293"/>
          <a:ext cx="1089432" cy="32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telephone</a:t>
          </a:r>
        </a:p>
      </cdr:txBody>
    </cdr:sp>
  </cdr:relSizeAnchor>
  <cdr:relSizeAnchor xmlns:cdr="http://schemas.openxmlformats.org/drawingml/2006/chartDrawing">
    <cdr:from>
      <cdr:x>0.36824</cdr:x>
      <cdr:y>0.2844</cdr:y>
    </cdr:from>
    <cdr:to>
      <cdr:x>0.51165</cdr:x>
      <cdr:y>0.34402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8272D6C2-AEAE-4D60-2FDD-F28B0CFA5F30}"/>
            </a:ext>
          </a:extLst>
        </cdr:cNvPr>
        <cdr:cNvSpPr txBox="1"/>
      </cdr:nvSpPr>
      <cdr:spPr>
        <a:xfrm xmlns:a="http://schemas.openxmlformats.org/drawingml/2006/main">
          <a:off x="3030436" y="1560311"/>
          <a:ext cx="1180218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prefunction</a:t>
          </a:r>
        </a:p>
      </cdr:txBody>
    </cdr:sp>
  </cdr:relSizeAnchor>
  <cdr:relSizeAnchor xmlns:cdr="http://schemas.openxmlformats.org/drawingml/2006/chartDrawing">
    <cdr:from>
      <cdr:x>0.53288</cdr:x>
      <cdr:y>0.16155</cdr:y>
    </cdr:from>
    <cdr:to>
      <cdr:x>0.67629</cdr:x>
      <cdr:y>0.22117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7AF711CC-72F8-A53C-97E1-C0A86F7B7413}"/>
            </a:ext>
          </a:extLst>
        </cdr:cNvPr>
        <cdr:cNvSpPr txBox="1"/>
      </cdr:nvSpPr>
      <cdr:spPr>
        <a:xfrm xmlns:a="http://schemas.openxmlformats.org/drawingml/2006/main">
          <a:off x="4385383" y="886340"/>
          <a:ext cx="1180217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main entry</a:t>
          </a:r>
        </a:p>
      </cdr:txBody>
    </cdr:sp>
  </cdr:relSizeAnchor>
  <cdr:relSizeAnchor xmlns:cdr="http://schemas.openxmlformats.org/drawingml/2006/chartDrawing">
    <cdr:from>
      <cdr:x>0.68553</cdr:x>
      <cdr:y>0.06855</cdr:y>
    </cdr:from>
    <cdr:to>
      <cdr:x>0.89664</cdr:x>
      <cdr:y>0.12817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01A3D3CC-F356-0F8D-9EF3-E865EEF34068}"/>
            </a:ext>
          </a:extLst>
        </cdr:cNvPr>
        <cdr:cNvSpPr txBox="1"/>
      </cdr:nvSpPr>
      <cdr:spPr>
        <a:xfrm xmlns:a="http://schemas.openxmlformats.org/drawingml/2006/main">
          <a:off x="5641652" y="376106"/>
          <a:ext cx="1737360" cy="32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occupied storage</a:t>
          </a:r>
        </a:p>
      </cdr:txBody>
    </cdr:sp>
  </cdr:relSizeAnchor>
  <cdr:relSizeAnchor xmlns:cdr="http://schemas.openxmlformats.org/drawingml/2006/chartDrawing">
    <cdr:from>
      <cdr:x>0.30419</cdr:x>
      <cdr:y>0.50383</cdr:y>
    </cdr:from>
    <cdr:to>
      <cdr:x>0.41753</cdr:x>
      <cdr:y>0.56345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E03E1E0F-DF75-E4FF-896B-2391604C4C85}"/>
            </a:ext>
          </a:extLst>
        </cdr:cNvPr>
        <cdr:cNvSpPr txBox="1"/>
      </cdr:nvSpPr>
      <cdr:spPr>
        <a:xfrm xmlns:a="http://schemas.openxmlformats.org/drawingml/2006/main">
          <a:off x="2503377" y="2764214"/>
          <a:ext cx="932742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casino</a:t>
          </a:r>
        </a:p>
      </cdr:txBody>
    </cdr:sp>
  </cdr:relSizeAnchor>
  <cdr:relSizeAnchor xmlns:cdr="http://schemas.openxmlformats.org/drawingml/2006/chartDrawing">
    <cdr:from>
      <cdr:x>0.31573</cdr:x>
      <cdr:y>0.64903</cdr:y>
    </cdr:from>
    <cdr:to>
      <cdr:x>0.42907</cdr:x>
      <cdr:y>0.70865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72EE2409-0975-F6F9-2FB3-AC30E6EB3610}"/>
            </a:ext>
          </a:extLst>
        </cdr:cNvPr>
        <cdr:cNvSpPr txBox="1"/>
      </cdr:nvSpPr>
      <cdr:spPr>
        <a:xfrm xmlns:a="http://schemas.openxmlformats.org/drawingml/2006/main">
          <a:off x="2598332" y="3560822"/>
          <a:ext cx="932743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legislation chamber</a:t>
          </a:r>
        </a:p>
      </cdr:txBody>
    </cdr:sp>
  </cdr:relSizeAnchor>
  <cdr:relSizeAnchor xmlns:cdr="http://schemas.openxmlformats.org/drawingml/2006/chartDrawing">
    <cdr:from>
      <cdr:x>0.43784</cdr:x>
      <cdr:y>0.41376</cdr:y>
    </cdr:from>
    <cdr:to>
      <cdr:x>0.55118</cdr:x>
      <cdr:y>0.47338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F97DB7D0-5DB2-F9EE-597A-D292C1AE70EC}"/>
            </a:ext>
          </a:extLst>
        </cdr:cNvPr>
        <cdr:cNvSpPr txBox="1"/>
      </cdr:nvSpPr>
      <cdr:spPr>
        <a:xfrm xmlns:a="http://schemas.openxmlformats.org/drawingml/2006/main">
          <a:off x="3603287" y="2270074"/>
          <a:ext cx="932743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game</a:t>
          </a:r>
          <a:r>
            <a:rPr lang="en-HK" sz="1800" baseline="0"/>
            <a:t> arcade</a:t>
          </a:r>
          <a:endParaRPr lang="en-HK" sz="1800"/>
        </a:p>
      </cdr:txBody>
    </cdr:sp>
  </cdr:relSizeAnchor>
  <cdr:relSizeAnchor xmlns:cdr="http://schemas.openxmlformats.org/drawingml/2006/chartDrawing">
    <cdr:from>
      <cdr:x>0.51716</cdr:x>
      <cdr:y>0.54214</cdr:y>
    </cdr:from>
    <cdr:to>
      <cdr:x>0.6305</cdr:x>
      <cdr:y>0.60176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8F6964C6-DD0F-598E-A81C-D5B82E2BFAFF}"/>
            </a:ext>
          </a:extLst>
        </cdr:cNvPr>
        <cdr:cNvSpPr txBox="1"/>
      </cdr:nvSpPr>
      <cdr:spPr>
        <a:xfrm xmlns:a="http://schemas.openxmlformats.org/drawingml/2006/main">
          <a:off x="4256049" y="2974376"/>
          <a:ext cx="932743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guard stations/sales</a:t>
          </a:r>
        </a:p>
      </cdr:txBody>
    </cdr:sp>
  </cdr:relSizeAnchor>
  <cdr:relSizeAnchor xmlns:cdr="http://schemas.openxmlformats.org/drawingml/2006/chartDrawing">
    <cdr:from>
      <cdr:x>0.6168</cdr:x>
      <cdr:y>0.45829</cdr:y>
    </cdr:from>
    <cdr:to>
      <cdr:x>0.73014</cdr:x>
      <cdr:y>0.51791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D8B072D7-E2A7-259B-FE1C-C9BF01276B57}"/>
            </a:ext>
          </a:extLst>
        </cdr:cNvPr>
        <cdr:cNvSpPr txBox="1"/>
      </cdr:nvSpPr>
      <cdr:spPr>
        <a:xfrm xmlns:a="http://schemas.openxmlformats.org/drawingml/2006/main">
          <a:off x="5076021" y="2514367"/>
          <a:ext cx="932743" cy="32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library</a:t>
          </a:r>
        </a:p>
      </cdr:txBody>
    </cdr:sp>
  </cdr:relSizeAnchor>
  <cdr:relSizeAnchor xmlns:cdr="http://schemas.openxmlformats.org/drawingml/2006/chartDrawing">
    <cdr:from>
      <cdr:x>0.51104</cdr:x>
      <cdr:y>0.3472</cdr:y>
    </cdr:from>
    <cdr:to>
      <cdr:x>0.74271</cdr:x>
      <cdr:y>0.40682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C2C6A946-F4E7-C6C6-8ACA-4E9F592DFB0A}"/>
            </a:ext>
          </a:extLst>
        </cdr:cNvPr>
        <cdr:cNvSpPr txBox="1"/>
      </cdr:nvSpPr>
      <cdr:spPr>
        <a:xfrm xmlns:a="http://schemas.openxmlformats.org/drawingml/2006/main">
          <a:off x="4205691" y="1904867"/>
          <a:ext cx="1906505" cy="327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manufacturing (general)</a:t>
          </a:r>
        </a:p>
      </cdr:txBody>
    </cdr:sp>
  </cdr:relSizeAnchor>
  <cdr:relSizeAnchor xmlns:cdr="http://schemas.openxmlformats.org/drawingml/2006/chartDrawing">
    <cdr:from>
      <cdr:x>0.67644</cdr:x>
      <cdr:y>0.14765</cdr:y>
    </cdr:from>
    <cdr:to>
      <cdr:x>0.83347</cdr:x>
      <cdr:y>0.25244</cdr:y>
    </cdr:to>
    <cdr:sp macro="" textlink="">
      <cdr:nvSpPr>
        <cdr:cNvPr id="13" name="TextBox 12">
          <a:extLst xmlns:a="http://schemas.openxmlformats.org/drawingml/2006/main">
            <a:ext uri="{FF2B5EF4-FFF2-40B4-BE49-F238E27FC236}">
              <a16:creationId xmlns:a16="http://schemas.microsoft.com/office/drawing/2014/main" id="{3E41201A-69A5-0097-7EFF-5DEA102F94D5}"/>
            </a:ext>
          </a:extLst>
        </cdr:cNvPr>
        <cdr:cNvSpPr txBox="1"/>
      </cdr:nvSpPr>
      <cdr:spPr>
        <a:xfrm xmlns:a="http://schemas.openxmlformats.org/drawingml/2006/main">
          <a:off x="5606922" y="810082"/>
          <a:ext cx="1301604" cy="574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2800">
              <a:solidFill>
                <a:srgbClr val="EF1F5B"/>
              </a:solidFill>
            </a:rPr>
            <a:t>0.1 hr</a:t>
          </a:r>
        </a:p>
      </cdr:txBody>
    </cdr:sp>
  </cdr:relSizeAnchor>
  <cdr:relSizeAnchor xmlns:cdr="http://schemas.openxmlformats.org/drawingml/2006/chartDrawing">
    <cdr:from>
      <cdr:x>0.82566</cdr:x>
      <cdr:y>0.38723</cdr:y>
    </cdr:from>
    <cdr:to>
      <cdr:x>0.98269</cdr:x>
      <cdr:y>0.49202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A74CE536-1F61-C6E2-2525-6ED36CD541AD}"/>
            </a:ext>
          </a:extLst>
        </cdr:cNvPr>
        <cdr:cNvSpPr txBox="1"/>
      </cdr:nvSpPr>
      <cdr:spPr>
        <a:xfrm xmlns:a="http://schemas.openxmlformats.org/drawingml/2006/main">
          <a:off x="6661148" y="2041500"/>
          <a:ext cx="1266867" cy="552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chemeClr val="accent2">
                  <a:lumMod val="50000"/>
                </a:schemeClr>
              </a:solidFill>
            </a:rPr>
            <a:t>4 hr</a:t>
          </a:r>
        </a:p>
      </cdr:txBody>
    </cdr:sp>
  </cdr:relSizeAnchor>
  <cdr:relSizeAnchor xmlns:cdr="http://schemas.openxmlformats.org/drawingml/2006/chartDrawing">
    <cdr:from>
      <cdr:x>0.29519</cdr:x>
      <cdr:y>0.52404</cdr:y>
    </cdr:from>
    <cdr:to>
      <cdr:x>0.29519</cdr:x>
      <cdr:y>0.64571</cdr:y>
    </cdr:to>
    <cdr:cxnSp macro="">
      <cdr:nvCxnSpPr>
        <cdr:cNvPr id="16" name="Straight Arrow Connector 15">
          <a:extLst xmlns:a="http://schemas.openxmlformats.org/drawingml/2006/main">
            <a:ext uri="{FF2B5EF4-FFF2-40B4-BE49-F238E27FC236}">
              <a16:creationId xmlns:a16="http://schemas.microsoft.com/office/drawing/2014/main" id="{3F9EFF15-2211-1A41-C25B-0956009D2E78}"/>
            </a:ext>
          </a:extLst>
        </cdr:cNvPr>
        <cdr:cNvCxnSpPr/>
      </cdr:nvCxnSpPr>
      <cdr:spPr>
        <a:xfrm xmlns:a="http://schemas.openxmlformats.org/drawingml/2006/main" flipV="1">
          <a:off x="2429277" y="2875109"/>
          <a:ext cx="0" cy="667512"/>
        </a:xfrm>
        <a:prstGeom xmlns:a="http://schemas.openxmlformats.org/drawingml/2006/main" prst="straightConnector1">
          <a:avLst/>
        </a:prstGeom>
        <a:ln xmlns:a="http://schemas.openxmlformats.org/drawingml/2006/main" w="381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0.40276</cdr:x>
      <cdr:y>0.43447</cdr:y>
    </cdr:from>
    <cdr:to>
      <cdr:x>0.40276</cdr:x>
      <cdr:y>0.6178</cdr:y>
    </cdr:to>
    <cdr:cxnSp macro="">
      <cdr:nvCxnSpPr>
        <cdr:cNvPr id="18" name="Straight Arrow Connector 17">
          <a:extLst xmlns:a="http://schemas.openxmlformats.org/drawingml/2006/main">
            <a:ext uri="{FF2B5EF4-FFF2-40B4-BE49-F238E27FC236}">
              <a16:creationId xmlns:a16="http://schemas.microsoft.com/office/drawing/2014/main" id="{026DE394-D383-0F77-986E-C5EF6D7E3774}"/>
            </a:ext>
          </a:extLst>
        </cdr:cNvPr>
        <cdr:cNvCxnSpPr/>
      </cdr:nvCxnSpPr>
      <cdr:spPr>
        <a:xfrm xmlns:a="http://schemas.openxmlformats.org/drawingml/2006/main" flipV="1">
          <a:off x="3314541" y="2383652"/>
          <a:ext cx="0" cy="1005840"/>
        </a:xfrm>
        <a:prstGeom xmlns:a="http://schemas.openxmlformats.org/drawingml/2006/main" prst="straightConnector1">
          <a:avLst/>
        </a:prstGeom>
        <a:ln xmlns:a="http://schemas.openxmlformats.org/drawingml/2006/main" w="381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0.48806</cdr:x>
      <cdr:y>0.35598</cdr:y>
    </cdr:from>
    <cdr:to>
      <cdr:x>0.48806</cdr:x>
      <cdr:y>0.55598</cdr:y>
    </cdr:to>
    <cdr:cxnSp macro="">
      <cdr:nvCxnSpPr>
        <cdr:cNvPr id="20" name="Straight Arrow Connector 19">
          <a:extLst xmlns:a="http://schemas.openxmlformats.org/drawingml/2006/main">
            <a:ext uri="{FF2B5EF4-FFF2-40B4-BE49-F238E27FC236}">
              <a16:creationId xmlns:a16="http://schemas.microsoft.com/office/drawing/2014/main" id="{B4C58F64-476D-8007-4B3D-B8778528F38E}"/>
            </a:ext>
          </a:extLst>
        </cdr:cNvPr>
        <cdr:cNvCxnSpPr/>
      </cdr:nvCxnSpPr>
      <cdr:spPr>
        <a:xfrm xmlns:a="http://schemas.openxmlformats.org/drawingml/2006/main" flipH="1" flipV="1">
          <a:off x="4016510" y="1953025"/>
          <a:ext cx="0" cy="1097280"/>
        </a:xfrm>
        <a:prstGeom xmlns:a="http://schemas.openxmlformats.org/drawingml/2006/main" prst="straightConnector1">
          <a:avLst/>
        </a:prstGeom>
        <a:ln xmlns:a="http://schemas.openxmlformats.org/drawingml/2006/main" w="381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0.53212</cdr:x>
      <cdr:y>0.30856</cdr:y>
    </cdr:from>
    <cdr:to>
      <cdr:x>0.53212</cdr:x>
      <cdr:y>0.49189</cdr:y>
    </cdr:to>
    <cdr:cxnSp macro="">
      <cdr:nvCxnSpPr>
        <cdr:cNvPr id="22" name="Straight Arrow Connector 21">
          <a:extLst xmlns:a="http://schemas.openxmlformats.org/drawingml/2006/main">
            <a:ext uri="{FF2B5EF4-FFF2-40B4-BE49-F238E27FC236}">
              <a16:creationId xmlns:a16="http://schemas.microsoft.com/office/drawing/2014/main" id="{A3EB1E65-006B-1254-5481-D3A0424A3DE1}"/>
            </a:ext>
          </a:extLst>
        </cdr:cNvPr>
        <cdr:cNvCxnSpPr/>
      </cdr:nvCxnSpPr>
      <cdr:spPr>
        <a:xfrm xmlns:a="http://schemas.openxmlformats.org/drawingml/2006/main" flipH="1" flipV="1">
          <a:off x="4379100" y="1692890"/>
          <a:ext cx="0" cy="1005840"/>
        </a:xfrm>
        <a:prstGeom xmlns:a="http://schemas.openxmlformats.org/drawingml/2006/main" prst="straightConnector1">
          <a:avLst/>
        </a:prstGeom>
        <a:ln xmlns:a="http://schemas.openxmlformats.org/drawingml/2006/main" w="381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0.61211</cdr:x>
      <cdr:y>0.24021</cdr:y>
    </cdr:from>
    <cdr:to>
      <cdr:x>0.61211</cdr:x>
      <cdr:y>0.47354</cdr:y>
    </cdr:to>
    <cdr:cxnSp macro="">
      <cdr:nvCxnSpPr>
        <cdr:cNvPr id="23" name="Straight Arrow Connector 22">
          <a:extLst xmlns:a="http://schemas.openxmlformats.org/drawingml/2006/main">
            <a:ext uri="{FF2B5EF4-FFF2-40B4-BE49-F238E27FC236}">
              <a16:creationId xmlns:a16="http://schemas.microsoft.com/office/drawing/2014/main" id="{54F7107A-D21F-228B-2C86-52BDC0A237A7}"/>
            </a:ext>
          </a:extLst>
        </cdr:cNvPr>
        <cdr:cNvCxnSpPr/>
      </cdr:nvCxnSpPr>
      <cdr:spPr>
        <a:xfrm xmlns:a="http://schemas.openxmlformats.org/drawingml/2006/main" flipV="1">
          <a:off x="5037418" y="1317866"/>
          <a:ext cx="0" cy="1280160"/>
        </a:xfrm>
        <a:prstGeom xmlns:a="http://schemas.openxmlformats.org/drawingml/2006/main" prst="straightConnector1">
          <a:avLst/>
        </a:prstGeom>
        <a:ln xmlns:a="http://schemas.openxmlformats.org/drawingml/2006/main" w="381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0.80074</cdr:x>
      <cdr:y>0.06345</cdr:y>
    </cdr:from>
    <cdr:to>
      <cdr:x>0.80074</cdr:x>
      <cdr:y>0.31345</cdr:y>
    </cdr:to>
    <cdr:cxnSp macro="">
      <cdr:nvCxnSpPr>
        <cdr:cNvPr id="24" name="Straight Arrow Connector 23">
          <a:extLst xmlns:a="http://schemas.openxmlformats.org/drawingml/2006/main">
            <a:ext uri="{FF2B5EF4-FFF2-40B4-BE49-F238E27FC236}">
              <a16:creationId xmlns:a16="http://schemas.microsoft.com/office/drawing/2014/main" id="{A02B0115-A6DD-6D23-96F4-850AED5EAC7A}"/>
            </a:ext>
          </a:extLst>
        </cdr:cNvPr>
        <cdr:cNvCxnSpPr/>
      </cdr:nvCxnSpPr>
      <cdr:spPr>
        <a:xfrm xmlns:a="http://schemas.openxmlformats.org/drawingml/2006/main" flipV="1">
          <a:off x="6589806" y="348131"/>
          <a:ext cx="0" cy="1371600"/>
        </a:xfrm>
        <a:prstGeom xmlns:a="http://schemas.openxmlformats.org/drawingml/2006/main" prst="straightConnector1">
          <a:avLst/>
        </a:prstGeom>
        <a:ln xmlns:a="http://schemas.openxmlformats.org/drawingml/2006/main" w="381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0.43145</cdr:x>
      <cdr:y>0.23024</cdr:y>
    </cdr:from>
    <cdr:to>
      <cdr:x>0.59692</cdr:x>
      <cdr:y>0.28986</cdr:y>
    </cdr:to>
    <cdr:sp macro="" textlink="">
      <cdr:nvSpPr>
        <cdr:cNvPr id="25" name="TextBox 1">
          <a:extLst xmlns:a="http://schemas.openxmlformats.org/drawingml/2006/main">
            <a:ext uri="{FF2B5EF4-FFF2-40B4-BE49-F238E27FC236}">
              <a16:creationId xmlns:a16="http://schemas.microsoft.com/office/drawing/2014/main" id="{22F21EE0-18AE-555D-412A-9CC82302C32E}"/>
            </a:ext>
          </a:extLst>
        </cdr:cNvPr>
        <cdr:cNvSpPr txBox="1"/>
      </cdr:nvSpPr>
      <cdr:spPr>
        <a:xfrm xmlns:a="http://schemas.openxmlformats.org/drawingml/2006/main">
          <a:off x="3550634" y="1263196"/>
          <a:ext cx="1361789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surgery scrub</a:t>
          </a:r>
        </a:p>
      </cdr:txBody>
    </cdr:sp>
  </cdr:relSizeAnchor>
  <cdr:relSizeAnchor xmlns:cdr="http://schemas.openxmlformats.org/drawingml/2006/chartDrawing">
    <cdr:from>
      <cdr:x>0.47382</cdr:x>
      <cdr:y>0.57151</cdr:y>
    </cdr:from>
    <cdr:to>
      <cdr:x>0.55105</cdr:x>
      <cdr:y>0.63113</cdr:y>
    </cdr:to>
    <cdr:sp macro="" textlink="">
      <cdr:nvSpPr>
        <cdr:cNvPr id="26" name="TextBox 1">
          <a:extLst xmlns:a="http://schemas.openxmlformats.org/drawingml/2006/main">
            <a:ext uri="{FF2B5EF4-FFF2-40B4-BE49-F238E27FC236}">
              <a16:creationId xmlns:a16="http://schemas.microsoft.com/office/drawing/2014/main" id="{4236FCA1-FE0E-7CB7-31AA-928DA32A8359}"/>
            </a:ext>
          </a:extLst>
        </cdr:cNvPr>
        <cdr:cNvSpPr txBox="1"/>
      </cdr:nvSpPr>
      <cdr:spPr>
        <a:xfrm xmlns:a="http://schemas.openxmlformats.org/drawingml/2006/main">
          <a:off x="3899382" y="3135539"/>
          <a:ext cx="635502" cy="327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1800"/>
            <a:t>cell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0.42441</cdr:x>
      <cdr:y>0.53688</cdr:y>
    </cdr:from>
    <cdr:to>
      <cdr:x>0.42441</cdr:x>
      <cdr:y>0.59521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1EE8D0BE-62A0-421F-133E-6F8FBEE13A92}"/>
            </a:ext>
          </a:extLst>
        </cdr:cNvPr>
        <cdr:cNvCxnSpPr/>
      </cdr:nvCxnSpPr>
      <cdr:spPr>
        <a:xfrm xmlns:a="http://schemas.openxmlformats.org/drawingml/2006/main" flipV="1">
          <a:off x="3498743" y="2945526"/>
          <a:ext cx="0" cy="32004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1"/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0.44928</cdr:x>
      <cdr:y>0.51898</cdr:y>
    </cdr:from>
    <cdr:to>
      <cdr:x>0.44968</cdr:x>
      <cdr:y>0.58565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358A7134-FA1D-319D-4C30-10B79D653043}"/>
            </a:ext>
          </a:extLst>
        </cdr:cNvPr>
        <cdr:cNvCxnSpPr/>
      </cdr:nvCxnSpPr>
      <cdr:spPr>
        <a:xfrm xmlns:a="http://schemas.openxmlformats.org/drawingml/2006/main" flipH="1" flipV="1">
          <a:off x="3703761" y="2847325"/>
          <a:ext cx="3297" cy="36576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1"/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0.48316</cdr:x>
      <cdr:y>0.50049</cdr:y>
    </cdr:from>
    <cdr:to>
      <cdr:x>0.48316</cdr:x>
      <cdr:y>0.58049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B827DAF8-BD47-381B-DF67-8FF8D76FD0D3}"/>
            </a:ext>
          </a:extLst>
        </cdr:cNvPr>
        <cdr:cNvCxnSpPr/>
      </cdr:nvCxnSpPr>
      <cdr:spPr>
        <a:xfrm xmlns:a="http://schemas.openxmlformats.org/drawingml/2006/main" flipH="1" flipV="1">
          <a:off x="3983110" y="2745904"/>
          <a:ext cx="0" cy="438912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1"/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0.53155</cdr:x>
      <cdr:y>0.4617</cdr:y>
    </cdr:from>
    <cdr:to>
      <cdr:x>0.53155</cdr:x>
      <cdr:y>0.52837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1A3AE433-436C-369B-BCBC-4AD888D8D26F}"/>
            </a:ext>
          </a:extLst>
        </cdr:cNvPr>
        <cdr:cNvCxnSpPr/>
      </cdr:nvCxnSpPr>
      <cdr:spPr>
        <a:xfrm xmlns:a="http://schemas.openxmlformats.org/drawingml/2006/main" flipV="1">
          <a:off x="4381985" y="2533096"/>
          <a:ext cx="0" cy="36576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1"/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0.69272</cdr:x>
      <cdr:y>0.31816</cdr:y>
    </cdr:from>
    <cdr:to>
      <cdr:x>0.69312</cdr:x>
      <cdr:y>0.41816</cdr:y>
    </cdr:to>
    <cdr:cxnSp macro="">
      <cdr:nvCxnSpPr>
        <cdr:cNvPr id="15" name="Straight Connector 14">
          <a:extLst xmlns:a="http://schemas.openxmlformats.org/drawingml/2006/main">
            <a:ext uri="{FF2B5EF4-FFF2-40B4-BE49-F238E27FC236}">
              <a16:creationId xmlns:a16="http://schemas.microsoft.com/office/drawing/2014/main" id="{F139B72D-98BF-D8F8-D273-34FB12D9E54A}"/>
            </a:ext>
          </a:extLst>
        </cdr:cNvPr>
        <cdr:cNvCxnSpPr/>
      </cdr:nvCxnSpPr>
      <cdr:spPr>
        <a:xfrm xmlns:a="http://schemas.openxmlformats.org/drawingml/2006/main" flipH="1" flipV="1">
          <a:off x="5710674" y="1745566"/>
          <a:ext cx="3297" cy="54864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accent1"/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0.69513</cdr:x>
      <cdr:y>0.14706</cdr:y>
    </cdr:from>
    <cdr:to>
      <cdr:x>0.83538</cdr:x>
      <cdr:y>0.24706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315363B-6216-37C1-98B1-420C894A3DB9}"/>
            </a:ext>
          </a:extLst>
        </cdr:cNvPr>
        <cdr:cNvSpPr txBox="1"/>
      </cdr:nvSpPr>
      <cdr:spPr>
        <a:xfrm xmlns:a="http://schemas.openxmlformats.org/drawingml/2006/main">
          <a:off x="5720603" y="806825"/>
          <a:ext cx="1154206" cy="548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800" kern="1200">
              <a:solidFill>
                <a:srgbClr val="00CD6C"/>
              </a:solidFill>
            </a:rPr>
            <a:t>0.5 </a:t>
          </a:r>
          <a:r>
            <a:rPr lang="en-US" altLang="zh-CN" sz="2800" kern="1200">
              <a:solidFill>
                <a:srgbClr val="00CD6C"/>
              </a:solidFill>
            </a:rPr>
            <a:t>hr</a:t>
          </a:r>
          <a:endParaRPr lang="en-US" sz="2800" kern="1200">
            <a:solidFill>
              <a:srgbClr val="00CD6C"/>
            </a:solidFill>
          </a:endParaRPr>
        </a:p>
      </cdr:txBody>
    </cdr:sp>
  </cdr:relSizeAnchor>
  <cdr:relSizeAnchor xmlns:cdr="http://schemas.openxmlformats.org/drawingml/2006/chartDrawing">
    <cdr:from>
      <cdr:x>0.8652</cdr:x>
      <cdr:y>0.44833</cdr:y>
    </cdr:from>
    <cdr:to>
      <cdr:x>1</cdr:x>
      <cdr:y>0.55249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A3E1FEE-2E8A-A9D1-0125-F1C5A3CD055C}"/>
            </a:ext>
          </a:extLst>
        </cdr:cNvPr>
        <cdr:cNvSpPr txBox="1"/>
      </cdr:nvSpPr>
      <cdr:spPr>
        <a:xfrm xmlns:a="http://schemas.openxmlformats.org/drawingml/2006/main">
          <a:off x="7120218" y="2459691"/>
          <a:ext cx="1109382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800" kern="1200"/>
            <a:t>8 hr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238123</xdr:colOff>
      <xdr:row>2</xdr:row>
      <xdr:rowOff>476251</xdr:rowOff>
    </xdr:from>
    <xdr:to>
      <xdr:col>40</xdr:col>
      <xdr:colOff>485213</xdr:colOff>
      <xdr:row>27</xdr:row>
      <xdr:rowOff>9526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0AB22E8-69DC-481B-A247-AD8DA96C0B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313763</xdr:colOff>
      <xdr:row>35</xdr:row>
      <xdr:rowOff>169492</xdr:rowOff>
    </xdr:from>
    <xdr:to>
      <xdr:col>43</xdr:col>
      <xdr:colOff>560853</xdr:colOff>
      <xdr:row>64</xdr:row>
      <xdr:rowOff>131392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B7FF93E-CA5F-4C2B-A850-F3B99ECC71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503564</xdr:colOff>
      <xdr:row>29</xdr:row>
      <xdr:rowOff>207314</xdr:rowOff>
    </xdr:from>
    <xdr:to>
      <xdr:col>44</xdr:col>
      <xdr:colOff>65414</xdr:colOff>
      <xdr:row>53</xdr:row>
      <xdr:rowOff>142000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7E29625-6A91-4540-AF62-88128AA8CC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217813</xdr:colOff>
      <xdr:row>17</xdr:row>
      <xdr:rowOff>173297</xdr:rowOff>
    </xdr:from>
    <xdr:to>
      <xdr:col>59</xdr:col>
      <xdr:colOff>391985</xdr:colOff>
      <xdr:row>41</xdr:row>
      <xdr:rowOff>107983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E31DABE-D890-4A30-B1FB-DCE61C1F90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75194</xdr:colOff>
      <xdr:row>2</xdr:row>
      <xdr:rowOff>5416</xdr:rowOff>
    </xdr:from>
    <xdr:to>
      <xdr:col>44</xdr:col>
      <xdr:colOff>350085</xdr:colOff>
      <xdr:row>24</xdr:row>
      <xdr:rowOff>8137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39172CC-99D0-49E5-AE6B-41CB0A5B28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277399</xdr:colOff>
      <xdr:row>32</xdr:row>
      <xdr:rowOff>122464</xdr:rowOff>
    </xdr:from>
    <xdr:to>
      <xdr:col>37</xdr:col>
      <xdr:colOff>494867</xdr:colOff>
      <xdr:row>65</xdr:row>
      <xdr:rowOff>179614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F3DF746-961F-4DD7-BEC8-CF22E7C02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50098</xdr:colOff>
      <xdr:row>4</xdr:row>
      <xdr:rowOff>110093</xdr:rowOff>
    </xdr:from>
    <xdr:to>
      <xdr:col>38</xdr:col>
      <xdr:colOff>330034</xdr:colOff>
      <xdr:row>28</xdr:row>
      <xdr:rowOff>24368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BD1DB2A-EA80-45DE-89CB-F2D3A8E932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5"/>
  <sheetViews>
    <sheetView zoomScaleNormal="85" workbookViewId="0">
      <selection activeCell="Q6" sqref="Q6"/>
    </sheetView>
  </sheetViews>
  <sheetFormatPr defaultColWidth="8.85546875" defaultRowHeight="15"/>
  <cols>
    <col min="1" max="1" width="18.85546875" customWidth="1"/>
    <col min="2" max="2" width="25.85546875" customWidth="1"/>
    <col min="3" max="5" width="18.85546875" customWidth="1"/>
  </cols>
  <sheetData>
    <row r="1" spans="1:5" ht="18" customHeight="1" thickBot="1">
      <c r="C1" s="51" t="s">
        <v>167</v>
      </c>
      <c r="D1" s="51"/>
      <c r="E1" s="51"/>
    </row>
    <row r="2" spans="1:5" ht="32.1" customHeight="1" thickTop="1" thickBot="1">
      <c r="A2" s="9" t="s">
        <v>165</v>
      </c>
      <c r="B2" s="10" t="s">
        <v>166</v>
      </c>
      <c r="C2" s="11" t="s">
        <v>0</v>
      </c>
      <c r="D2" s="11" t="s">
        <v>1</v>
      </c>
      <c r="E2" s="11" t="s">
        <v>2</v>
      </c>
    </row>
    <row r="3" spans="1:5" ht="18" customHeight="1" thickTop="1">
      <c r="A3" s="1">
        <v>1E-4</v>
      </c>
      <c r="B3" s="2">
        <f>(1-EXP(-A3))/A3</f>
        <v>0.9999500016666385</v>
      </c>
      <c r="C3" s="2">
        <f>$B3*EXP(-$A3*0)/(1-$B3*EXP(-$A3*0))</f>
        <v>19999.666677621968</v>
      </c>
      <c r="D3" s="2">
        <f>$B3*EXP(-$A3*0.5)/(1-$B3*EXP(-$A3*0.5))</f>
        <v>9999.5416765235186</v>
      </c>
      <c r="E3" s="2">
        <f>$B3*EXP(-$A3*1)/(1-$B3*EXP(-$A3*1))</f>
        <v>6666.1851983342804</v>
      </c>
    </row>
    <row r="4" spans="1:5" ht="18" customHeight="1">
      <c r="A4" s="1">
        <f>A3*1.5</f>
        <v>1.5000000000000001E-4</v>
      </c>
      <c r="B4" s="2">
        <f t="shared" ref="B4:B28" si="0">(1-EXP(-A4))/A4</f>
        <v>0.99992500374993876</v>
      </c>
      <c r="C4" s="2">
        <f t="shared" ref="C4:C28" si="1">B4*EXP(-A4*0)/(1-B4*EXP(-A4*0))</f>
        <v>13333.000022446207</v>
      </c>
      <c r="D4" s="2">
        <f t="shared" ref="D4:D45" si="2">$B4*EXP(-$A4*0.5)/(1-$B4*EXP(-$A4*0.5))</f>
        <v>6666.2083496229288</v>
      </c>
      <c r="E4" s="2">
        <f t="shared" ref="E4:E45" si="3">$B4*EXP(-$A4*1)/(1-$B4*EXP(-$A4*1))</f>
        <v>4443.962983357701</v>
      </c>
    </row>
    <row r="5" spans="1:5" ht="18" customHeight="1">
      <c r="A5" s="1">
        <f t="shared" ref="A5:A45" si="4">A4*1.5</f>
        <v>2.2500000000000002E-4</v>
      </c>
      <c r="B5" s="2">
        <f t="shared" si="0"/>
        <v>0.99988750843691154</v>
      </c>
      <c r="C5" s="2">
        <f t="shared" si="1"/>
        <v>8888.5555590569566</v>
      </c>
      <c r="D5" s="2">
        <f t="shared" si="2"/>
        <v>4443.9861280025052</v>
      </c>
      <c r="E5" s="2">
        <f t="shared" si="3"/>
        <v>2962.4815087223064</v>
      </c>
    </row>
    <row r="6" spans="1:5" ht="18" customHeight="1">
      <c r="A6" s="1">
        <f t="shared" si="4"/>
        <v>3.3750000000000002E-4</v>
      </c>
      <c r="B6" s="2">
        <f t="shared" si="0"/>
        <v>0.99983126898266572</v>
      </c>
      <c r="C6" s="2">
        <f t="shared" si="1"/>
        <v>5925.5926075634889</v>
      </c>
      <c r="D6" s="2">
        <f t="shared" si="2"/>
        <v>2962.5046573958507</v>
      </c>
      <c r="E6" s="2">
        <f t="shared" si="3"/>
        <v>1974.8272024349128</v>
      </c>
    </row>
    <row r="7" spans="1:5" ht="18" customHeight="1">
      <c r="A7" s="1">
        <f t="shared" si="4"/>
        <v>5.0624999999999997E-4</v>
      </c>
      <c r="B7" s="2">
        <f t="shared" si="0"/>
        <v>0.99974691770948421</v>
      </c>
      <c r="C7" s="2">
        <f t="shared" si="1"/>
        <v>3950.2839794596166</v>
      </c>
      <c r="D7" s="2">
        <f t="shared" si="2"/>
        <v>1974.8503518871892</v>
      </c>
      <c r="E7" s="2">
        <f t="shared" si="3"/>
        <v>1316.391010122479</v>
      </c>
    </row>
    <row r="8" spans="1:5" ht="18" customHeight="1">
      <c r="A8" s="1">
        <f t="shared" si="4"/>
        <v>7.5937499999999996E-4</v>
      </c>
      <c r="B8" s="2">
        <f t="shared" si="0"/>
        <v>0.99962040859014478</v>
      </c>
      <c r="C8" s="2">
        <f t="shared" si="1"/>
        <v>2633.411564743828</v>
      </c>
      <c r="D8" s="2">
        <f t="shared" si="2"/>
        <v>1316.4141592289634</v>
      </c>
      <c r="E8" s="2">
        <f t="shared" si="3"/>
        <v>877.43356580963734</v>
      </c>
    </row>
    <row r="9" spans="1:5" ht="18" customHeight="1">
      <c r="A9" s="1">
        <f t="shared" si="4"/>
        <v>1.1390624999999999E-3</v>
      </c>
      <c r="B9" s="2">
        <f t="shared" si="0"/>
        <v>0.99943068493232123</v>
      </c>
      <c r="C9" s="2">
        <f t="shared" si="1"/>
        <v>1755.496633888928</v>
      </c>
      <c r="D9" s="2">
        <f t="shared" si="2"/>
        <v>877.45671554222474</v>
      </c>
      <c r="E9" s="2">
        <f t="shared" si="3"/>
        <v>584.79529613836041</v>
      </c>
    </row>
    <row r="10" spans="1:5" ht="18" customHeight="1">
      <c r="A10" s="1">
        <f t="shared" si="4"/>
        <v>1.7085937499999998E-3</v>
      </c>
      <c r="B10" s="2">
        <f t="shared" si="0"/>
        <v>0.99914618946598965</v>
      </c>
      <c r="C10" s="2">
        <f t="shared" si="1"/>
        <v>1170.2200308691461</v>
      </c>
      <c r="D10" s="2">
        <f t="shared" si="2"/>
        <v>584.81844665737788</v>
      </c>
      <c r="E10" s="2">
        <f t="shared" si="3"/>
        <v>389.70315606428443</v>
      </c>
    </row>
    <row r="11" spans="1:5" ht="18" customHeight="1">
      <c r="A11" s="1">
        <f t="shared" si="4"/>
        <v>2.5628906249999996E-3</v>
      </c>
      <c r="B11" s="2">
        <f t="shared" si="0"/>
        <v>0.99871964872116559</v>
      </c>
      <c r="C11" s="2">
        <f t="shared" si="1"/>
        <v>780.03565523858822</v>
      </c>
      <c r="D11" s="2">
        <f t="shared" si="2"/>
        <v>389.72630777218103</v>
      </c>
      <c r="E11" s="2">
        <f t="shared" si="3"/>
        <v>259.64178891200032</v>
      </c>
    </row>
    <row r="12" spans="1:5" ht="18" customHeight="1">
      <c r="A12" s="1">
        <f t="shared" si="4"/>
        <v>3.8443359374999994E-3</v>
      </c>
      <c r="B12" s="2">
        <f t="shared" si="0"/>
        <v>0.99808029281889998</v>
      </c>
      <c r="C12" s="2">
        <f t="shared" si="1"/>
        <v>519.91277765965708</v>
      </c>
      <c r="D12" s="2">
        <f t="shared" si="2"/>
        <v>259.6649423838598</v>
      </c>
      <c r="E12" s="2">
        <f t="shared" si="3"/>
        <v>172.93430014256319</v>
      </c>
    </row>
    <row r="13" spans="1:5" ht="18" customHeight="1">
      <c r="A13" s="1">
        <f t="shared" si="4"/>
        <v>5.7665039062499996E-3</v>
      </c>
      <c r="B13" s="2">
        <f t="shared" si="0"/>
        <v>0.99712228216100651</v>
      </c>
      <c r="C13" s="2">
        <f t="shared" si="1"/>
        <v>346.49758522182304</v>
      </c>
      <c r="D13" s="2">
        <f t="shared" si="2"/>
        <v>172.9574562535019</v>
      </c>
      <c r="E13" s="2">
        <f t="shared" si="3"/>
        <v>115.12944161572592</v>
      </c>
    </row>
    <row r="14" spans="1:5" ht="18" customHeight="1">
      <c r="A14" s="1">
        <f t="shared" si="4"/>
        <v>8.6497558593750003E-3</v>
      </c>
      <c r="B14" s="2">
        <f t="shared" si="0"/>
        <v>0.99568756486463683</v>
      </c>
      <c r="C14" s="2">
        <f t="shared" si="1"/>
        <v>230.88754580903066</v>
      </c>
      <c r="D14" s="2">
        <f t="shared" si="2"/>
        <v>115.15260165418589</v>
      </c>
      <c r="E14" s="2">
        <f t="shared" si="3"/>
        <v>76.593070206744244</v>
      </c>
    </row>
    <row r="15" spans="1:5" ht="18" customHeight="1">
      <c r="A15" s="1">
        <f t="shared" si="4"/>
        <v>1.29746337890625E-2</v>
      </c>
      <c r="B15" s="2">
        <f t="shared" si="0"/>
        <v>0.99354064918792229</v>
      </c>
      <c r="C15" s="2">
        <f t="shared" si="1"/>
        <v>153.81431944061578</v>
      </c>
      <c r="D15" s="2">
        <f t="shared" si="2"/>
        <v>76.616236070253123</v>
      </c>
      <c r="E15" s="2">
        <f t="shared" si="3"/>
        <v>50.90245726532099</v>
      </c>
    </row>
    <row r="16" spans="1:5" ht="18" customHeight="1">
      <c r="A16" s="1">
        <f t="shared" si="4"/>
        <v>1.946195068359375E-2</v>
      </c>
      <c r="B16" s="2">
        <f t="shared" si="0"/>
        <v>0.99033184662248908</v>
      </c>
      <c r="C16" s="2">
        <f t="shared" si="1"/>
        <v>102.43236820446998</v>
      </c>
      <c r="D16" s="2">
        <f t="shared" si="2"/>
        <v>50.925631716037408</v>
      </c>
      <c r="E16" s="2">
        <f t="shared" si="3"/>
        <v>33.775833778702491</v>
      </c>
    </row>
    <row r="17" spans="1:5" ht="18" customHeight="1">
      <c r="A17" s="1">
        <f t="shared" si="4"/>
        <v>2.9192926025390625E-2</v>
      </c>
      <c r="B17" s="2">
        <f t="shared" si="0"/>
        <v>0.9855445442071501</v>
      </c>
      <c r="C17" s="2">
        <f t="shared" si="1"/>
        <v>68.178033147500585</v>
      </c>
      <c r="D17" s="2">
        <f t="shared" si="2"/>
        <v>33.799020772048301</v>
      </c>
      <c r="E17" s="2">
        <f t="shared" si="3"/>
        <v>22.358762061447507</v>
      </c>
    </row>
    <row r="18" spans="1:5" ht="18" customHeight="1">
      <c r="A18" s="1">
        <f t="shared" si="4"/>
        <v>4.3789389038085935E-2</v>
      </c>
      <c r="B18" s="2">
        <f t="shared" si="0"/>
        <v>0.9784214223887846</v>
      </c>
      <c r="C18" s="2">
        <f t="shared" si="1"/>
        <v>45.342257493387933</v>
      </c>
      <c r="D18" s="2">
        <f t="shared" si="2"/>
        <v>22.381967107725952</v>
      </c>
      <c r="E18" s="2">
        <f t="shared" si="3"/>
        <v>14.748395801801538</v>
      </c>
    </row>
    <row r="19" spans="1:5" ht="18" customHeight="1">
      <c r="A19" s="1">
        <f t="shared" si="4"/>
        <v>6.5684083557128903E-2</v>
      </c>
      <c r="B19" s="2">
        <f t="shared" si="0"/>
        <v>0.96786537032266196</v>
      </c>
      <c r="C19" s="2">
        <f t="shared" si="1"/>
        <v>30.119076524016055</v>
      </c>
      <c r="D19" s="2">
        <f t="shared" si="2"/>
        <v>14.77162621506012</v>
      </c>
      <c r="E19" s="2">
        <f t="shared" si="3"/>
        <v>9.6763381787939675</v>
      </c>
    </row>
    <row r="20" spans="1:5" ht="18" customHeight="1">
      <c r="A20" s="1">
        <f t="shared" si="4"/>
        <v>9.8526125335693354E-2</v>
      </c>
      <c r="B20" s="2">
        <f t="shared" si="0"/>
        <v>0.95231575811456015</v>
      </c>
      <c r="C20" s="2">
        <f t="shared" si="1"/>
        <v>19.971288636662695</v>
      </c>
      <c r="D20" s="2">
        <f t="shared" si="2"/>
        <v>9.6996027902574173</v>
      </c>
      <c r="E20" s="2">
        <f t="shared" si="3"/>
        <v>6.2972402975844766</v>
      </c>
    </row>
    <row r="21" spans="1:5" ht="18" customHeight="1">
      <c r="A21" s="1">
        <f t="shared" si="4"/>
        <v>0.14778918800354002</v>
      </c>
      <c r="B21" s="2">
        <f t="shared" si="0"/>
        <v>0.92961506131433169</v>
      </c>
      <c r="C21" s="2">
        <f t="shared" si="1"/>
        <v>13.207585012837679</v>
      </c>
      <c r="D21" s="2">
        <f t="shared" si="2"/>
        <v>6.3205475470759858</v>
      </c>
      <c r="E21" s="2">
        <f t="shared" si="3"/>
        <v>4.0479042502572531</v>
      </c>
    </row>
    <row r="22" spans="1:5" ht="18" customHeight="1">
      <c r="A22" s="1">
        <f t="shared" si="4"/>
        <v>0.22168378200531003</v>
      </c>
      <c r="B22" s="2">
        <f t="shared" si="0"/>
        <v>0.89691419899466229</v>
      </c>
      <c r="C22" s="2">
        <f t="shared" si="1"/>
        <v>8.7006570279084379</v>
      </c>
      <c r="D22" s="2">
        <f t="shared" si="2"/>
        <v>4.071256031511493</v>
      </c>
      <c r="E22" s="2">
        <f t="shared" si="3"/>
        <v>2.5534020906341928</v>
      </c>
    </row>
    <row r="23" spans="1:5" ht="18" customHeight="1">
      <c r="A23" s="1">
        <f t="shared" si="4"/>
        <v>0.33252567300796504</v>
      </c>
      <c r="B23" s="2">
        <f t="shared" si="0"/>
        <v>0.85073052913703018</v>
      </c>
      <c r="C23" s="2">
        <f t="shared" si="1"/>
        <v>5.6992935274621921</v>
      </c>
      <c r="D23" s="2">
        <f t="shared" si="2"/>
        <v>2.5767773071153091</v>
      </c>
      <c r="E23" s="2">
        <f t="shared" si="3"/>
        <v>1.5645470162167385</v>
      </c>
    </row>
    <row r="24" spans="1:5" ht="18" customHeight="1">
      <c r="A24" s="1">
        <f t="shared" si="4"/>
        <v>0.49878850951194753</v>
      </c>
      <c r="B24" s="2">
        <f t="shared" si="0"/>
        <v>0.78737597476248289</v>
      </c>
      <c r="C24" s="2">
        <f t="shared" si="1"/>
        <v>3.7031373753879619</v>
      </c>
      <c r="D24" s="2">
        <f t="shared" si="2"/>
        <v>1.5878617004227056</v>
      </c>
      <c r="E24" s="2">
        <f t="shared" si="3"/>
        <v>0.91624693518540457</v>
      </c>
    </row>
    <row r="25" spans="1:5" ht="18" customHeight="1">
      <c r="A25" s="1">
        <f t="shared" si="4"/>
        <v>0.7481827642679213</v>
      </c>
      <c r="B25" s="2">
        <f t="shared" si="0"/>
        <v>0.70407163945381934</v>
      </c>
      <c r="C25" s="2">
        <f t="shared" si="1"/>
        <v>2.379196228960105</v>
      </c>
      <c r="D25" s="2">
        <f t="shared" si="2"/>
        <v>0.93926520077691467</v>
      </c>
      <c r="E25" s="2">
        <f t="shared" si="3"/>
        <v>0.49966591662743576</v>
      </c>
    </row>
    <row r="26" spans="1:5" ht="18" customHeight="1">
      <c r="A26" s="1">
        <f t="shared" si="4"/>
        <v>1.1222741464018819</v>
      </c>
      <c r="B26" s="2">
        <f t="shared" si="0"/>
        <v>0.60097737480817581</v>
      </c>
      <c r="C26" s="2">
        <f t="shared" si="1"/>
        <v>1.5061235550722591</v>
      </c>
      <c r="D26" s="2">
        <f t="shared" si="2"/>
        <v>0.52182357424684367</v>
      </c>
      <c r="E26" s="2">
        <f t="shared" si="3"/>
        <v>0.24322651509087212</v>
      </c>
    </row>
    <row r="27" spans="1:5" ht="18" customHeight="1">
      <c r="A27" s="1">
        <f t="shared" si="4"/>
        <v>1.683411219602823</v>
      </c>
      <c r="B27" s="2">
        <f t="shared" si="0"/>
        <v>0.48369684953289044</v>
      </c>
      <c r="C27" s="2">
        <f t="shared" si="1"/>
        <v>0.93684659699496386</v>
      </c>
      <c r="D27" s="2">
        <f t="shared" si="2"/>
        <v>0.26336188906191843</v>
      </c>
      <c r="E27" s="2">
        <f t="shared" si="3"/>
        <v>9.8709745444129096E-2</v>
      </c>
    </row>
    <row r="28" spans="1:5" ht="18" customHeight="1">
      <c r="A28" s="1">
        <f t="shared" si="4"/>
        <v>2.5251168294042348</v>
      </c>
      <c r="B28" s="2">
        <f t="shared" si="0"/>
        <v>0.36432018872131733</v>
      </c>
      <c r="C28" s="2">
        <f t="shared" si="1"/>
        <v>0.5731190172430991</v>
      </c>
      <c r="D28" s="2">
        <f t="shared" si="2"/>
        <v>0.11492270670599704</v>
      </c>
      <c r="E28" s="2">
        <f t="shared" si="3"/>
        <v>3.0039508034312708E-2</v>
      </c>
    </row>
    <row r="29" spans="1:5" ht="18" customHeight="1">
      <c r="A29" s="1">
        <f t="shared" si="4"/>
        <v>3.7876752441063521</v>
      </c>
      <c r="B29" s="2">
        <f t="shared" ref="B29:B45" si="5">(1-EXP(-A29))/A29</f>
        <v>0.25803474289536182</v>
      </c>
      <c r="C29" s="2">
        <f t="shared" ref="C29:C45" si="6">B29*EXP(-A29*0)/(1-B29*EXP(-A29*0))</f>
        <v>0.34777200202377073</v>
      </c>
      <c r="D29" s="2">
        <f t="shared" si="2"/>
        <v>4.0401348659395757E-2</v>
      </c>
      <c r="E29" s="2">
        <f t="shared" si="3"/>
        <v>5.8783737921583668E-3</v>
      </c>
    </row>
    <row r="30" spans="1:5" ht="18" customHeight="1">
      <c r="A30" s="1">
        <f t="shared" si="4"/>
        <v>5.6815128661595278</v>
      </c>
      <c r="B30" s="2">
        <f t="shared" si="5"/>
        <v>0.17540954766557926</v>
      </c>
      <c r="C30" s="2">
        <f t="shared" si="6"/>
        <v>0.21272323390234962</v>
      </c>
      <c r="D30" s="2">
        <f t="shared" si="2"/>
        <v>1.0346626719779914E-2</v>
      </c>
      <c r="E30" s="2">
        <f t="shared" si="3"/>
        <v>5.9822322443692569E-4</v>
      </c>
    </row>
    <row r="31" spans="1:5" ht="18" customHeight="1">
      <c r="A31" s="1">
        <f t="shared" si="4"/>
        <v>8.5222692992392908</v>
      </c>
      <c r="B31" s="2">
        <f t="shared" si="5"/>
        <v>0.11731628954021382</v>
      </c>
      <c r="C31" s="2">
        <f t="shared" si="6"/>
        <v>0.13290863777139861</v>
      </c>
      <c r="D31" s="2">
        <f t="shared" si="2"/>
        <v>1.6576405491299966E-3</v>
      </c>
      <c r="E31" s="2">
        <f t="shared" si="3"/>
        <v>2.3345002633979824E-5</v>
      </c>
    </row>
    <row r="32" spans="1:5" ht="18" customHeight="1">
      <c r="A32" s="1">
        <f t="shared" si="4"/>
        <v>12.783403948858936</v>
      </c>
      <c r="B32" s="2">
        <f t="shared" si="5"/>
        <v>7.82262061832487E-2</v>
      </c>
      <c r="C32" s="2">
        <f t="shared" si="6"/>
        <v>8.4864862407663624E-2</v>
      </c>
      <c r="D32" s="2">
        <f t="shared" si="2"/>
        <v>1.3107754338986685E-4</v>
      </c>
      <c r="E32" s="2">
        <f t="shared" si="3"/>
        <v>2.1957888162095649E-7</v>
      </c>
    </row>
    <row r="33" spans="1:5" ht="18" customHeight="1">
      <c r="A33" s="1">
        <f t="shared" si="4"/>
        <v>19.175105923288406</v>
      </c>
      <c r="B33" s="2">
        <f t="shared" si="5"/>
        <v>5.2150950263209699E-2</v>
      </c>
      <c r="C33" s="2">
        <f t="shared" si="6"/>
        <v>5.5020311807762616E-2</v>
      </c>
      <c r="D33" s="2">
        <f t="shared" si="2"/>
        <v>3.5763699184288914E-6</v>
      </c>
      <c r="E33" s="2">
        <f t="shared" si="3"/>
        <v>2.4525593965129167E-10</v>
      </c>
    </row>
    <row r="34" spans="1:5" ht="18" customHeight="1">
      <c r="A34" s="1">
        <f t="shared" si="4"/>
        <v>28.762658884932609</v>
      </c>
      <c r="B34" s="2">
        <f t="shared" si="5"/>
        <v>3.4767300338965877E-2</v>
      </c>
      <c r="C34" s="2">
        <f t="shared" si="6"/>
        <v>3.6019604755594473E-2</v>
      </c>
      <c r="D34" s="2">
        <f t="shared" si="2"/>
        <v>1.9744173493739833E-8</v>
      </c>
      <c r="E34" s="2">
        <f t="shared" si="3"/>
        <v>1.1212615525403839E-14</v>
      </c>
    </row>
    <row r="35" spans="1:5" ht="18" customHeight="1">
      <c r="A35" s="1">
        <f t="shared" si="4"/>
        <v>43.143988327398915</v>
      </c>
      <c r="B35" s="2">
        <f t="shared" si="5"/>
        <v>2.3178200225984727E-2</v>
      </c>
      <c r="C35" s="2">
        <f t="shared" si="6"/>
        <v>2.3728176655503523E-2</v>
      </c>
      <c r="D35" s="2">
        <f t="shared" si="2"/>
        <v>9.9193149827476718E-12</v>
      </c>
      <c r="E35" s="2">
        <f t="shared" si="3"/>
        <v>4.2450582342758342E-21</v>
      </c>
    </row>
    <row r="36" spans="1:5" ht="18" customHeight="1">
      <c r="A36" s="1">
        <f t="shared" si="4"/>
        <v>64.715982491098373</v>
      </c>
      <c r="B36" s="2">
        <f t="shared" si="5"/>
        <v>1.5452133483989819E-2</v>
      </c>
      <c r="C36" s="2">
        <f t="shared" si="6"/>
        <v>1.5694649299957165E-2</v>
      </c>
      <c r="D36" s="2">
        <f t="shared" si="2"/>
        <v>1.3680167274070071E-16</v>
      </c>
      <c r="E36" s="2">
        <f t="shared" si="3"/>
        <v>1.2111400463919329E-30</v>
      </c>
    </row>
    <row r="37" spans="1:5" ht="18" customHeight="1">
      <c r="A37" s="1">
        <f t="shared" si="4"/>
        <v>97.073973736647559</v>
      </c>
      <c r="B37" s="2">
        <f t="shared" si="5"/>
        <v>1.0301422322659879E-2</v>
      </c>
      <c r="C37" s="2">
        <f t="shared" si="6"/>
        <v>1.0408646182796001E-2</v>
      </c>
      <c r="D37" s="2">
        <f t="shared" si="2"/>
        <v>8.5812711896876205E-24</v>
      </c>
      <c r="E37" s="2">
        <f t="shared" si="3"/>
        <v>7.1483541713440806E-45</v>
      </c>
    </row>
    <row r="38" spans="1:5" ht="18" customHeight="1">
      <c r="A38" s="1">
        <f t="shared" si="4"/>
        <v>145.61096060497135</v>
      </c>
      <c r="B38" s="2">
        <f t="shared" si="5"/>
        <v>6.8676148817732518E-3</v>
      </c>
      <c r="C38" s="2">
        <f t="shared" si="6"/>
        <v>6.9151051608851736E-3</v>
      </c>
      <c r="D38" s="2">
        <f t="shared" si="2"/>
        <v>1.6511540166971084E-34</v>
      </c>
      <c r="E38" s="2">
        <f t="shared" si="3"/>
        <v>3.9698055784849848E-66</v>
      </c>
    </row>
    <row r="39" spans="1:5" ht="18" customHeight="1">
      <c r="A39" s="1">
        <f t="shared" si="4"/>
        <v>218.41644090745703</v>
      </c>
      <c r="B39" s="2">
        <f t="shared" si="5"/>
        <v>4.5784099211821682E-3</v>
      </c>
      <c r="C39" s="2">
        <f t="shared" si="6"/>
        <v>4.5994681718925226E-3</v>
      </c>
      <c r="D39" s="2">
        <f t="shared" si="2"/>
        <v>1.7068177571690504E-50</v>
      </c>
      <c r="E39" s="2">
        <f t="shared" si="3"/>
        <v>6.3629664148451294E-98</v>
      </c>
    </row>
    <row r="40" spans="1:5" ht="18" customHeight="1">
      <c r="A40" s="1">
        <f t="shared" si="4"/>
        <v>327.62466136118553</v>
      </c>
      <c r="B40" s="2">
        <f t="shared" si="5"/>
        <v>3.0522732807881123E-3</v>
      </c>
      <c r="C40" s="2">
        <f t="shared" si="6"/>
        <v>3.0616181761431295E-3</v>
      </c>
      <c r="D40" s="2">
        <f t="shared" si="2"/>
        <v>2.1970105006706133E-74</v>
      </c>
      <c r="E40" s="2">
        <f t="shared" si="3"/>
        <v>1.5813967807006524E-145</v>
      </c>
    </row>
    <row r="41" spans="1:5" ht="18" customHeight="1">
      <c r="A41" s="1">
        <f t="shared" si="4"/>
        <v>491.4369920417783</v>
      </c>
      <c r="B41" s="2">
        <f t="shared" si="5"/>
        <v>2.0348488538587412E-3</v>
      </c>
      <c r="C41" s="2">
        <f t="shared" si="6"/>
        <v>2.0389979064116231E-3</v>
      </c>
      <c r="D41" s="2">
        <f t="shared" si="2"/>
        <v>3.9295718358371568E-110</v>
      </c>
      <c r="E41" s="2">
        <f t="shared" si="3"/>
        <v>7.5885414210113841E-217</v>
      </c>
    </row>
    <row r="42" spans="1:5" ht="18" customHeight="1">
      <c r="A42" s="1">
        <f t="shared" si="4"/>
        <v>737.15548806266747</v>
      </c>
      <c r="B42" s="2">
        <f t="shared" si="5"/>
        <v>1.3565659025724943E-3</v>
      </c>
      <c r="C42" s="2">
        <f t="shared" si="6"/>
        <v>1.3584086734606698E-3</v>
      </c>
      <c r="D42" s="2">
        <f t="shared" si="2"/>
        <v>1.1512257939178314E-163</v>
      </c>
      <c r="E42" s="2">
        <f t="shared" si="3"/>
        <v>0</v>
      </c>
    </row>
    <row r="43" spans="1:5" ht="18" customHeight="1">
      <c r="A43" s="1">
        <f t="shared" si="4"/>
        <v>1105.7332320940013</v>
      </c>
      <c r="B43" s="2">
        <f t="shared" si="5"/>
        <v>9.0437726838166275E-4</v>
      </c>
      <c r="C43" s="2">
        <f t="shared" si="6"/>
        <v>9.0519590698337059E-4</v>
      </c>
      <c r="D43" s="2">
        <f t="shared" si="2"/>
        <v>7.0701570355473865E-244</v>
      </c>
      <c r="E43" s="2">
        <f t="shared" si="3"/>
        <v>0</v>
      </c>
    </row>
    <row r="44" spans="1:5" ht="18" customHeight="1">
      <c r="A44" s="1">
        <f t="shared" si="4"/>
        <v>1658.599848141002</v>
      </c>
      <c r="B44" s="2">
        <f t="shared" si="5"/>
        <v>6.0291817892110854E-4</v>
      </c>
      <c r="C44" s="2">
        <f t="shared" si="6"/>
        <v>6.0328190855078799E-4</v>
      </c>
      <c r="D44" s="2">
        <f t="shared" si="2"/>
        <v>0</v>
      </c>
      <c r="E44" s="2">
        <f t="shared" si="3"/>
        <v>0</v>
      </c>
    </row>
    <row r="45" spans="1:5" ht="18" customHeight="1" thickBot="1">
      <c r="A45" s="7">
        <f t="shared" si="4"/>
        <v>2487.8997722115027</v>
      </c>
      <c r="B45" s="8">
        <f t="shared" si="5"/>
        <v>4.0194545261407238E-4</v>
      </c>
      <c r="C45" s="8">
        <f t="shared" si="6"/>
        <v>4.0210707772542805E-4</v>
      </c>
      <c r="D45" s="8">
        <f t="shared" si="2"/>
        <v>0</v>
      </c>
      <c r="E45" s="8">
        <f t="shared" si="3"/>
        <v>0</v>
      </c>
    </row>
  </sheetData>
  <mergeCells count="1">
    <mergeCell ref="C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0CC8F-A879-44C4-BB80-6D6DEBA332BC}">
  <sheetPr codeName="Sheet2"/>
  <dimension ref="A1:S104"/>
  <sheetViews>
    <sheetView zoomScale="25" zoomScaleNormal="25" workbookViewId="0">
      <selection activeCell="BK65" sqref="BK65"/>
    </sheetView>
  </sheetViews>
  <sheetFormatPr defaultColWidth="9.140625" defaultRowHeight="15.75"/>
  <cols>
    <col min="1" max="1" width="18.7109375" style="13" customWidth="1"/>
    <col min="2" max="2" width="32.7109375" style="13" customWidth="1"/>
    <col min="3" max="3" width="18.7109375" style="13" customWidth="1"/>
    <col min="4" max="4" width="25.7109375" style="13" customWidth="1"/>
    <col min="5" max="19" width="18.7109375" style="13" customWidth="1"/>
    <col min="20" max="16384" width="9.140625" style="3"/>
  </cols>
  <sheetData>
    <row r="1" spans="1:19">
      <c r="A1" s="12" t="s">
        <v>169</v>
      </c>
    </row>
    <row r="2" spans="1:19" ht="18.75">
      <c r="D2" s="52" t="s">
        <v>168</v>
      </c>
      <c r="E2" s="52"/>
      <c r="F2" s="13">
        <v>0.1</v>
      </c>
      <c r="G2" s="52" t="s">
        <v>170</v>
      </c>
      <c r="H2" s="52"/>
      <c r="I2" s="13">
        <v>0.93</v>
      </c>
    </row>
    <row r="3" spans="1:19" ht="30.75" thickBot="1">
      <c r="A3" s="14" t="s">
        <v>63</v>
      </c>
      <c r="B3" s="15" t="s">
        <v>3</v>
      </c>
      <c r="C3" s="14" t="s">
        <v>4</v>
      </c>
      <c r="D3" s="14" t="s">
        <v>5</v>
      </c>
      <c r="E3" s="14" t="s">
        <v>6</v>
      </c>
      <c r="F3" s="14" t="s">
        <v>64</v>
      </c>
      <c r="G3" s="14" t="s">
        <v>7</v>
      </c>
      <c r="H3" s="14" t="s">
        <v>65</v>
      </c>
      <c r="I3" s="32" t="s">
        <v>171</v>
      </c>
      <c r="J3" s="14" t="s">
        <v>66</v>
      </c>
      <c r="K3" s="14" t="s">
        <v>125</v>
      </c>
      <c r="L3" s="14" t="s">
        <v>67</v>
      </c>
      <c r="M3" s="14" t="s">
        <v>68</v>
      </c>
      <c r="N3" s="14" t="s">
        <v>172</v>
      </c>
      <c r="O3" s="14" t="s">
        <v>69</v>
      </c>
      <c r="P3" s="14" t="s">
        <v>70</v>
      </c>
      <c r="Q3" s="14" t="s">
        <v>71</v>
      </c>
      <c r="R3" s="14" t="s">
        <v>124</v>
      </c>
      <c r="S3" s="14" t="s">
        <v>8</v>
      </c>
    </row>
    <row r="4" spans="1:19" ht="16.5" thickTop="1">
      <c r="A4" s="16"/>
      <c r="B4" s="17"/>
      <c r="E4" s="13">
        <v>0.1</v>
      </c>
      <c r="J4" s="13">
        <v>1</v>
      </c>
      <c r="M4" s="21"/>
      <c r="N4" s="21"/>
      <c r="O4" s="21"/>
      <c r="P4" s="21"/>
      <c r="Q4" s="21"/>
      <c r="R4" s="21"/>
      <c r="S4" s="21">
        <f t="shared" ref="S4:S12" si="0">2*J4/3.6/E4</f>
        <v>5.5555555555555554</v>
      </c>
    </row>
    <row r="5" spans="1:19">
      <c r="A5" s="17">
        <v>1</v>
      </c>
      <c r="B5" s="18" t="s">
        <v>72</v>
      </c>
      <c r="C5" s="19">
        <v>150</v>
      </c>
      <c r="D5" s="13" t="s">
        <v>9</v>
      </c>
      <c r="E5" s="13">
        <v>0.1</v>
      </c>
      <c r="F5" s="20">
        <v>2.7</v>
      </c>
      <c r="G5" s="13">
        <v>1.5</v>
      </c>
      <c r="H5" s="13">
        <f t="shared" ref="H5:H11" si="1">E5*G5</f>
        <v>0.15000000000000002</v>
      </c>
      <c r="I5" s="21">
        <v>7.6068376068376103E-2</v>
      </c>
      <c r="J5" s="21">
        <f t="shared" ref="J5:J11" si="2">100/C5*3</f>
        <v>2</v>
      </c>
      <c r="K5" s="21">
        <f t="shared" ref="K5:K11" si="3">F5+$I$2*J5/3.6</f>
        <v>3.2166666666666668</v>
      </c>
      <c r="L5" s="22">
        <f t="shared" ref="L5:L11" si="4">K5*3.6/J5</f>
        <v>5.79</v>
      </c>
      <c r="M5" s="21">
        <f t="shared" ref="M5:M11" si="5">K5/(1+(EXP(-L5*E5)-1)/L5/E5)</f>
        <v>13.35486470435122</v>
      </c>
      <c r="N5" s="21">
        <f t="shared" ref="N5:N11" si="6">M5-K5</f>
        <v>10.138198037684553</v>
      </c>
      <c r="O5" s="21">
        <f t="shared" ref="O5:O11" si="7">N5/K5*100</f>
        <v>315.17714106791357</v>
      </c>
      <c r="P5" s="21">
        <f t="shared" ref="P5:P11" si="8">$F$2*H5/M5</f>
        <v>1.1231862195588379E-3</v>
      </c>
      <c r="Q5" s="21">
        <f t="shared" ref="Q5:Q11" si="9">M5/K5</f>
        <v>4.1517714106791352</v>
      </c>
      <c r="R5" s="21">
        <f t="shared" ref="R5:R11" si="10">K5</f>
        <v>3.2166666666666668</v>
      </c>
      <c r="S5" s="21">
        <f t="shared" si="0"/>
        <v>11.111111111111111</v>
      </c>
    </row>
    <row r="6" spans="1:19">
      <c r="A6" s="17">
        <f t="shared" ref="A6:A11" si="11">A5+1</f>
        <v>2</v>
      </c>
      <c r="B6" s="18" t="s">
        <v>73</v>
      </c>
      <c r="C6" s="19">
        <v>60</v>
      </c>
      <c r="D6" s="13" t="s">
        <v>9</v>
      </c>
      <c r="E6" s="13">
        <v>0.1</v>
      </c>
      <c r="F6" s="20">
        <v>3</v>
      </c>
      <c r="G6" s="13">
        <v>1.5</v>
      </c>
      <c r="H6" s="13">
        <f t="shared" si="1"/>
        <v>0.15000000000000002</v>
      </c>
      <c r="I6" s="21">
        <v>7.6068376068376062E-2</v>
      </c>
      <c r="J6" s="21">
        <f t="shared" si="2"/>
        <v>5</v>
      </c>
      <c r="K6" s="21">
        <f t="shared" si="3"/>
        <v>4.291666666666667</v>
      </c>
      <c r="L6" s="22">
        <f t="shared" si="4"/>
        <v>3.0900000000000003</v>
      </c>
      <c r="M6" s="21">
        <f t="shared" si="5"/>
        <v>30.711008608540883</v>
      </c>
      <c r="N6" s="21">
        <f t="shared" si="6"/>
        <v>26.419341941874215</v>
      </c>
      <c r="O6" s="21">
        <f t="shared" si="7"/>
        <v>615.59631709221469</v>
      </c>
      <c r="P6" s="21">
        <f t="shared" si="8"/>
        <v>4.8842420616001614E-4</v>
      </c>
      <c r="Q6" s="21">
        <f t="shared" si="9"/>
        <v>7.1559631709221474</v>
      </c>
      <c r="R6" s="21">
        <f t="shared" si="10"/>
        <v>4.291666666666667</v>
      </c>
      <c r="S6" s="21">
        <f t="shared" si="0"/>
        <v>27.777777777777775</v>
      </c>
    </row>
    <row r="7" spans="1:19">
      <c r="A7" s="17">
        <f t="shared" si="11"/>
        <v>3</v>
      </c>
      <c r="B7" s="18" t="s">
        <v>74</v>
      </c>
      <c r="C7" s="19" t="s">
        <v>10</v>
      </c>
      <c r="D7" s="13" t="s">
        <v>11</v>
      </c>
      <c r="E7" s="13">
        <v>0.1</v>
      </c>
      <c r="F7" s="20">
        <v>4.8</v>
      </c>
      <c r="G7" s="13">
        <v>2</v>
      </c>
      <c r="H7" s="13">
        <f t="shared" si="1"/>
        <v>0.2</v>
      </c>
      <c r="I7" s="21">
        <v>0.20811965811965813</v>
      </c>
      <c r="J7" s="21">
        <f t="shared" si="2"/>
        <v>10</v>
      </c>
      <c r="K7" s="21">
        <f t="shared" si="3"/>
        <v>7.3833333333333329</v>
      </c>
      <c r="L7" s="22">
        <f t="shared" si="4"/>
        <v>2.6579999999999999</v>
      </c>
      <c r="M7" s="21">
        <f t="shared" si="5"/>
        <v>60.584832945127225</v>
      </c>
      <c r="N7" s="21">
        <f t="shared" si="6"/>
        <v>53.201499611793892</v>
      </c>
      <c r="O7" s="21">
        <f t="shared" si="7"/>
        <v>720.56207149156512</v>
      </c>
      <c r="P7" s="21">
        <f t="shared" si="8"/>
        <v>3.3011562511221852E-4</v>
      </c>
      <c r="Q7" s="21">
        <f t="shared" si="9"/>
        <v>8.2056207149156517</v>
      </c>
      <c r="R7" s="21">
        <f t="shared" si="10"/>
        <v>7.3833333333333329</v>
      </c>
      <c r="S7" s="21">
        <f t="shared" si="0"/>
        <v>55.55555555555555</v>
      </c>
    </row>
    <row r="8" spans="1:19">
      <c r="A8" s="17">
        <f t="shared" si="11"/>
        <v>4</v>
      </c>
      <c r="B8" s="18" t="s">
        <v>77</v>
      </c>
      <c r="C8" s="23">
        <v>20</v>
      </c>
      <c r="D8" s="13" t="s">
        <v>11</v>
      </c>
      <c r="E8" s="13">
        <v>0.1</v>
      </c>
      <c r="F8" s="13">
        <v>9.5</v>
      </c>
      <c r="G8" s="13">
        <v>2.2999999999999998</v>
      </c>
      <c r="H8" s="13">
        <f t="shared" si="1"/>
        <v>0.22999999999999998</v>
      </c>
      <c r="I8" s="13">
        <v>0.20811965811965813</v>
      </c>
      <c r="J8" s="21">
        <f t="shared" si="2"/>
        <v>15</v>
      </c>
      <c r="K8" s="21">
        <f t="shared" si="3"/>
        <v>13.375</v>
      </c>
      <c r="L8" s="22">
        <f t="shared" si="4"/>
        <v>3.21</v>
      </c>
      <c r="M8" s="21">
        <f t="shared" si="5"/>
        <v>92.483290343276011</v>
      </c>
      <c r="N8" s="21">
        <f t="shared" si="6"/>
        <v>79.108290343276011</v>
      </c>
      <c r="O8" s="21">
        <f t="shared" si="7"/>
        <v>591.46385303383931</v>
      </c>
      <c r="P8" s="21">
        <f t="shared" si="8"/>
        <v>2.4869357388377359E-4</v>
      </c>
      <c r="Q8" s="21">
        <f t="shared" si="9"/>
        <v>6.9146385303383937</v>
      </c>
      <c r="R8" s="21">
        <f t="shared" si="10"/>
        <v>13.375</v>
      </c>
      <c r="S8" s="21">
        <f t="shared" si="0"/>
        <v>83.333333333333329</v>
      </c>
    </row>
    <row r="9" spans="1:19">
      <c r="A9" s="17">
        <f t="shared" si="11"/>
        <v>5</v>
      </c>
      <c r="B9" s="18" t="s">
        <v>75</v>
      </c>
      <c r="C9" s="19">
        <v>10</v>
      </c>
      <c r="D9" s="13" t="s">
        <v>11</v>
      </c>
      <c r="E9" s="13">
        <v>0.1</v>
      </c>
      <c r="F9" s="20">
        <v>5.5</v>
      </c>
      <c r="G9" s="13">
        <v>2</v>
      </c>
      <c r="H9" s="13">
        <f t="shared" si="1"/>
        <v>0.2</v>
      </c>
      <c r="I9" s="21">
        <v>0.20811965811965813</v>
      </c>
      <c r="J9" s="21">
        <f t="shared" si="2"/>
        <v>30</v>
      </c>
      <c r="K9" s="21">
        <f t="shared" si="3"/>
        <v>13.25</v>
      </c>
      <c r="L9" s="22">
        <f t="shared" si="4"/>
        <v>1.59</v>
      </c>
      <c r="M9" s="21">
        <f t="shared" si="5"/>
        <v>175.61578520791136</v>
      </c>
      <c r="N9" s="21">
        <f t="shared" si="6"/>
        <v>162.36578520791136</v>
      </c>
      <c r="O9" s="21">
        <f t="shared" si="7"/>
        <v>1225.4021525125386</v>
      </c>
      <c r="P9" s="21">
        <f t="shared" si="8"/>
        <v>1.1388497894037272E-4</v>
      </c>
      <c r="Q9" s="21">
        <f t="shared" si="9"/>
        <v>13.254021525125385</v>
      </c>
      <c r="R9" s="21">
        <f t="shared" si="10"/>
        <v>13.25</v>
      </c>
      <c r="S9" s="21">
        <f t="shared" si="0"/>
        <v>166.66666666666666</v>
      </c>
    </row>
    <row r="10" spans="1:19">
      <c r="A10" s="17">
        <f t="shared" si="11"/>
        <v>6</v>
      </c>
      <c r="B10" s="18" t="s">
        <v>12</v>
      </c>
      <c r="C10" s="19" t="s">
        <v>13</v>
      </c>
      <c r="D10" s="13" t="s">
        <v>9</v>
      </c>
      <c r="E10" s="13">
        <v>0.1</v>
      </c>
      <c r="F10" s="20">
        <v>32.5</v>
      </c>
      <c r="G10" s="13">
        <v>1.5</v>
      </c>
      <c r="H10" s="13">
        <f t="shared" si="1"/>
        <v>0.15000000000000002</v>
      </c>
      <c r="I10" s="21">
        <v>7.6068376068376062E-2</v>
      </c>
      <c r="J10" s="21">
        <f t="shared" si="2"/>
        <v>150</v>
      </c>
      <c r="K10" s="21">
        <f t="shared" si="3"/>
        <v>71.25</v>
      </c>
      <c r="L10" s="22">
        <f t="shared" si="4"/>
        <v>1.71</v>
      </c>
      <c r="M10" s="21">
        <f t="shared" si="5"/>
        <v>881.50238646975606</v>
      </c>
      <c r="N10" s="21">
        <f t="shared" si="6"/>
        <v>810.25238646975606</v>
      </c>
      <c r="O10" s="21">
        <f t="shared" si="7"/>
        <v>1137.196331887377</v>
      </c>
      <c r="P10" s="21">
        <f t="shared" si="8"/>
        <v>1.7016403166044801E-5</v>
      </c>
      <c r="Q10" s="21">
        <f t="shared" si="9"/>
        <v>12.371963318873769</v>
      </c>
      <c r="R10" s="21">
        <f t="shared" si="10"/>
        <v>71.25</v>
      </c>
      <c r="S10" s="21">
        <f t="shared" si="0"/>
        <v>833.33333333333326</v>
      </c>
    </row>
    <row r="11" spans="1:19">
      <c r="A11" s="17">
        <f t="shared" si="11"/>
        <v>7</v>
      </c>
      <c r="B11" s="18" t="s">
        <v>76</v>
      </c>
      <c r="C11" s="19">
        <v>2</v>
      </c>
      <c r="D11" s="13" t="s">
        <v>9</v>
      </c>
      <c r="E11" s="13">
        <v>0.1</v>
      </c>
      <c r="F11" s="20">
        <v>17.5</v>
      </c>
      <c r="G11" s="13">
        <v>1.5</v>
      </c>
      <c r="H11" s="13">
        <f t="shared" si="1"/>
        <v>0.15000000000000002</v>
      </c>
      <c r="I11" s="21">
        <v>7.6068376068376062E-2</v>
      </c>
      <c r="J11" s="21">
        <f t="shared" si="2"/>
        <v>150</v>
      </c>
      <c r="K11" s="21">
        <f t="shared" si="3"/>
        <v>56.25</v>
      </c>
      <c r="L11" s="22">
        <f t="shared" si="4"/>
        <v>1.35</v>
      </c>
      <c r="M11" s="21">
        <f t="shared" si="5"/>
        <v>871.25137011484628</v>
      </c>
      <c r="N11" s="21">
        <f t="shared" si="6"/>
        <v>815.00137011484628</v>
      </c>
      <c r="O11" s="21">
        <f t="shared" si="7"/>
        <v>1448.8913246486156</v>
      </c>
      <c r="P11" s="21">
        <f t="shared" si="8"/>
        <v>1.7216615680068013E-5</v>
      </c>
      <c r="Q11" s="21">
        <f t="shared" si="9"/>
        <v>15.488913246486156</v>
      </c>
      <c r="R11" s="21">
        <f t="shared" si="10"/>
        <v>56.25</v>
      </c>
      <c r="S11" s="21">
        <f t="shared" si="0"/>
        <v>833.33333333333326</v>
      </c>
    </row>
    <row r="12" spans="1:19">
      <c r="A12" s="17"/>
      <c r="B12" s="17"/>
      <c r="C12" s="19"/>
      <c r="E12" s="13">
        <v>0.1</v>
      </c>
      <c r="F12" s="20"/>
      <c r="I12" s="21"/>
      <c r="J12" s="21">
        <v>20000</v>
      </c>
      <c r="K12" s="21"/>
      <c r="L12" s="20"/>
      <c r="M12" s="21"/>
      <c r="N12" s="21"/>
      <c r="O12" s="21"/>
      <c r="P12" s="21"/>
      <c r="Q12" s="21"/>
      <c r="R12" s="21"/>
      <c r="S12" s="21">
        <f t="shared" si="0"/>
        <v>111111.11111111111</v>
      </c>
    </row>
    <row r="13" spans="1:19" ht="30.75" thickBot="1">
      <c r="A13" s="15"/>
      <c r="B13" s="15" t="s">
        <v>3</v>
      </c>
      <c r="C13" s="14" t="s">
        <v>4</v>
      </c>
      <c r="D13" s="14" t="s">
        <v>5</v>
      </c>
      <c r="E13" s="14" t="s">
        <v>6</v>
      </c>
      <c r="F13" s="14" t="s">
        <v>64</v>
      </c>
      <c r="G13" s="14" t="s">
        <v>7</v>
      </c>
      <c r="H13" s="14" t="s">
        <v>65</v>
      </c>
      <c r="I13" s="32" t="s">
        <v>171</v>
      </c>
      <c r="J13" s="14" t="s">
        <v>66</v>
      </c>
      <c r="K13" s="14" t="s">
        <v>125</v>
      </c>
      <c r="L13" s="14" t="s">
        <v>67</v>
      </c>
      <c r="M13" s="14" t="s">
        <v>68</v>
      </c>
      <c r="N13" s="14" t="s">
        <v>172</v>
      </c>
      <c r="O13" s="14" t="s">
        <v>69</v>
      </c>
      <c r="P13" s="14" t="s">
        <v>70</v>
      </c>
      <c r="Q13" s="14" t="s">
        <v>71</v>
      </c>
      <c r="R13" s="14" t="s">
        <v>124</v>
      </c>
      <c r="S13" s="14" t="s">
        <v>8</v>
      </c>
    </row>
    <row r="14" spans="1:19" ht="16.5" thickTop="1">
      <c r="A14" s="17"/>
      <c r="B14" s="17"/>
      <c r="E14" s="13">
        <v>0.5</v>
      </c>
      <c r="J14" s="13">
        <v>1</v>
      </c>
      <c r="M14" s="21"/>
      <c r="N14" s="21"/>
      <c r="O14" s="21"/>
      <c r="P14" s="21"/>
      <c r="Q14" s="21"/>
      <c r="R14" s="21"/>
      <c r="S14" s="21">
        <f t="shared" ref="S14:S24" si="12">2*J14/3.6/E14</f>
        <v>1.1111111111111112</v>
      </c>
    </row>
    <row r="15" spans="1:19">
      <c r="A15" s="17">
        <f>A11+1</f>
        <v>8</v>
      </c>
      <c r="B15" s="17" t="s">
        <v>14</v>
      </c>
      <c r="C15" s="19">
        <v>50</v>
      </c>
      <c r="D15" s="13" t="s">
        <v>9</v>
      </c>
      <c r="E15" s="13">
        <v>0.5</v>
      </c>
      <c r="F15" s="20">
        <v>4.4000000000000004</v>
      </c>
      <c r="G15" s="13">
        <v>1.5</v>
      </c>
      <c r="H15" s="13">
        <f t="shared" ref="H15:H23" si="13">E15*G15</f>
        <v>0.75</v>
      </c>
      <c r="I15" s="21">
        <v>7.6068376068376062E-2</v>
      </c>
      <c r="J15" s="21">
        <f t="shared" ref="J15:J23" si="14">100/C15*3</f>
        <v>6</v>
      </c>
      <c r="K15" s="21">
        <f t="shared" ref="K15:K23" si="15">F15+$I$2*J15/3.6</f>
        <v>5.95</v>
      </c>
      <c r="L15" s="22">
        <f t="shared" ref="L15:L23" si="16">K15*3.6/J15</f>
        <v>3.5700000000000003</v>
      </c>
      <c r="M15" s="21">
        <f t="shared" ref="M15:M23" si="17">K15/(1+(EXP(-L15*E15)-1)/L15/E15)</f>
        <v>11.146917255234825</v>
      </c>
      <c r="N15" s="21">
        <f t="shared" ref="N15:N23" si="18">M15-K15</f>
        <v>5.1969172552348253</v>
      </c>
      <c r="O15" s="21">
        <f t="shared" ref="O15:O23" si="19">N15/K15*100</f>
        <v>87.343147146803773</v>
      </c>
      <c r="P15" s="21">
        <f t="shared" ref="P15:P23" si="20">$F$2*H15/M15</f>
        <v>6.7283176399984884E-3</v>
      </c>
      <c r="Q15" s="21">
        <f t="shared" ref="Q15:Q23" si="21">M15/K15</f>
        <v>1.8734314714680378</v>
      </c>
      <c r="R15" s="21">
        <f t="shared" ref="R15:R23" si="22">K15</f>
        <v>5.95</v>
      </c>
      <c r="S15" s="21">
        <f t="shared" si="12"/>
        <v>6.6666666666666661</v>
      </c>
    </row>
    <row r="16" spans="1:19">
      <c r="A16" s="17">
        <f t="shared" ref="A16:A23" si="23">A15+1</f>
        <v>9</v>
      </c>
      <c r="B16" s="17" t="s">
        <v>15</v>
      </c>
      <c r="C16" s="19" t="s">
        <v>16</v>
      </c>
      <c r="D16" s="13" t="s">
        <v>11</v>
      </c>
      <c r="E16" s="13">
        <v>0.5</v>
      </c>
      <c r="F16" s="20">
        <v>4.55</v>
      </c>
      <c r="G16" s="13">
        <v>2.2999999999999998</v>
      </c>
      <c r="H16" s="13">
        <f t="shared" si="13"/>
        <v>1.1499999999999999</v>
      </c>
      <c r="I16" s="21">
        <v>0.20811965811965813</v>
      </c>
      <c r="J16" s="21">
        <f t="shared" si="14"/>
        <v>7.5</v>
      </c>
      <c r="K16" s="21">
        <f t="shared" si="15"/>
        <v>6.4874999999999998</v>
      </c>
      <c r="L16" s="22">
        <f t="shared" si="16"/>
        <v>3.1139999999999999</v>
      </c>
      <c r="M16" s="21">
        <f t="shared" si="17"/>
        <v>13.156376733746841</v>
      </c>
      <c r="N16" s="21">
        <f t="shared" si="18"/>
        <v>6.6688767337468411</v>
      </c>
      <c r="O16" s="21">
        <f t="shared" si="19"/>
        <v>102.79578780341951</v>
      </c>
      <c r="P16" s="21">
        <f t="shared" si="20"/>
        <v>8.7410084347173313E-3</v>
      </c>
      <c r="Q16" s="21">
        <f t="shared" si="21"/>
        <v>2.0279578780341954</v>
      </c>
      <c r="R16" s="21">
        <f t="shared" si="22"/>
        <v>6.4874999999999998</v>
      </c>
      <c r="S16" s="21">
        <f t="shared" si="12"/>
        <v>8.3333333333333339</v>
      </c>
    </row>
    <row r="17" spans="1:19">
      <c r="A17" s="17">
        <f t="shared" si="23"/>
        <v>10</v>
      </c>
      <c r="B17" s="17" t="s">
        <v>78</v>
      </c>
      <c r="C17" s="19">
        <v>30</v>
      </c>
      <c r="D17" s="13" t="s">
        <v>9</v>
      </c>
      <c r="E17" s="13">
        <v>0.5</v>
      </c>
      <c r="F17" s="20">
        <v>3.5</v>
      </c>
      <c r="G17" s="13">
        <v>1.5</v>
      </c>
      <c r="H17" s="13">
        <f t="shared" si="13"/>
        <v>0.75</v>
      </c>
      <c r="I17" s="21">
        <v>7.6068376068376062E-2</v>
      </c>
      <c r="J17" s="21">
        <f t="shared" si="14"/>
        <v>10</v>
      </c>
      <c r="K17" s="21">
        <f t="shared" si="15"/>
        <v>6.0833333333333339</v>
      </c>
      <c r="L17" s="22">
        <f t="shared" si="16"/>
        <v>2.1900000000000004</v>
      </c>
      <c r="M17" s="21">
        <f t="shared" si="17"/>
        <v>15.507883073508953</v>
      </c>
      <c r="N17" s="21">
        <f t="shared" si="18"/>
        <v>9.4245497401756193</v>
      </c>
      <c r="O17" s="21">
        <f t="shared" si="19"/>
        <v>154.92410531795537</v>
      </c>
      <c r="P17" s="21">
        <f t="shared" si="20"/>
        <v>4.8362500313222853E-3</v>
      </c>
      <c r="Q17" s="21">
        <f t="shared" si="21"/>
        <v>2.5492410531795535</v>
      </c>
      <c r="R17" s="21">
        <f t="shared" si="22"/>
        <v>6.0833333333333339</v>
      </c>
      <c r="S17" s="21">
        <f t="shared" si="12"/>
        <v>11.111111111111111</v>
      </c>
    </row>
    <row r="18" spans="1:19">
      <c r="A18" s="17">
        <f t="shared" si="23"/>
        <v>11</v>
      </c>
      <c r="B18" s="17" t="s">
        <v>17</v>
      </c>
      <c r="C18" s="19" t="s">
        <v>18</v>
      </c>
      <c r="D18" s="13" t="s">
        <v>9</v>
      </c>
      <c r="E18" s="13">
        <v>0.5</v>
      </c>
      <c r="F18" s="20">
        <v>4</v>
      </c>
      <c r="G18" s="13">
        <v>1.5</v>
      </c>
      <c r="H18" s="13">
        <f t="shared" si="13"/>
        <v>0.75</v>
      </c>
      <c r="I18" s="21">
        <v>7.6068376068376062E-2</v>
      </c>
      <c r="J18" s="21">
        <f t="shared" si="14"/>
        <v>15</v>
      </c>
      <c r="K18" s="21">
        <f t="shared" si="15"/>
        <v>7.875</v>
      </c>
      <c r="L18" s="22">
        <f t="shared" si="16"/>
        <v>1.8900000000000001</v>
      </c>
      <c r="M18" s="21">
        <f t="shared" si="17"/>
        <v>22.302459152319962</v>
      </c>
      <c r="N18" s="21">
        <f t="shared" si="18"/>
        <v>14.427459152319962</v>
      </c>
      <c r="O18" s="21">
        <f t="shared" si="19"/>
        <v>183.20583050565031</v>
      </c>
      <c r="P18" s="21">
        <f t="shared" si="20"/>
        <v>3.3628578574124777E-3</v>
      </c>
      <c r="Q18" s="21">
        <f t="shared" si="21"/>
        <v>2.8320583050565031</v>
      </c>
      <c r="R18" s="21">
        <f t="shared" si="22"/>
        <v>7.875</v>
      </c>
      <c r="S18" s="21">
        <f t="shared" si="12"/>
        <v>16.666666666666668</v>
      </c>
    </row>
    <row r="19" spans="1:19">
      <c r="A19" s="17">
        <f t="shared" si="23"/>
        <v>12</v>
      </c>
      <c r="B19" s="17" t="s">
        <v>80</v>
      </c>
      <c r="C19" s="23">
        <v>20</v>
      </c>
      <c r="D19" s="13" t="s">
        <v>81</v>
      </c>
      <c r="E19" s="13">
        <v>0.5</v>
      </c>
      <c r="F19" s="13">
        <v>8</v>
      </c>
      <c r="G19" s="13">
        <v>2.8</v>
      </c>
      <c r="H19" s="13">
        <f t="shared" si="13"/>
        <v>1.4</v>
      </c>
      <c r="I19" s="13">
        <v>0.298032200357782</v>
      </c>
      <c r="J19" s="21">
        <f t="shared" si="14"/>
        <v>15</v>
      </c>
      <c r="K19" s="21">
        <f t="shared" si="15"/>
        <v>11.875</v>
      </c>
      <c r="L19" s="22">
        <f t="shared" si="16"/>
        <v>2.85</v>
      </c>
      <c r="M19" s="21">
        <f t="shared" si="17"/>
        <v>25.426986936306609</v>
      </c>
      <c r="N19" s="21">
        <f t="shared" si="18"/>
        <v>13.551986936306609</v>
      </c>
      <c r="O19" s="21">
        <f t="shared" si="19"/>
        <v>114.12199525310828</v>
      </c>
      <c r="P19" s="21">
        <f t="shared" si="20"/>
        <v>5.5059610621853595E-3</v>
      </c>
      <c r="Q19" s="21">
        <f t="shared" si="21"/>
        <v>2.1412199525310829</v>
      </c>
      <c r="R19" s="21">
        <f t="shared" si="22"/>
        <v>11.875</v>
      </c>
      <c r="S19" s="21">
        <f t="shared" si="12"/>
        <v>16.666666666666668</v>
      </c>
    </row>
    <row r="20" spans="1:19">
      <c r="A20" s="17">
        <f t="shared" si="23"/>
        <v>13</v>
      </c>
      <c r="B20" s="17" t="s">
        <v>82</v>
      </c>
      <c r="C20" s="23">
        <v>20</v>
      </c>
      <c r="D20" s="13" t="s">
        <v>21</v>
      </c>
      <c r="E20" s="13">
        <v>0.5</v>
      </c>
      <c r="F20" s="13">
        <v>9.5</v>
      </c>
      <c r="G20" s="13">
        <v>3.5</v>
      </c>
      <c r="H20" s="13">
        <f t="shared" si="13"/>
        <v>1.75</v>
      </c>
      <c r="I20" s="13">
        <v>0.37254025044722744</v>
      </c>
      <c r="J20" s="21">
        <f t="shared" si="14"/>
        <v>15</v>
      </c>
      <c r="K20" s="21">
        <f t="shared" si="15"/>
        <v>13.375</v>
      </c>
      <c r="L20" s="22">
        <f t="shared" si="16"/>
        <v>3.21</v>
      </c>
      <c r="M20" s="21">
        <f t="shared" si="17"/>
        <v>26.637490049602629</v>
      </c>
      <c r="N20" s="21">
        <f t="shared" si="18"/>
        <v>13.262490049602629</v>
      </c>
      <c r="O20" s="21">
        <f t="shared" si="19"/>
        <v>99.158804109178533</v>
      </c>
      <c r="P20" s="21">
        <f t="shared" si="20"/>
        <v>6.5696880477149394E-3</v>
      </c>
      <c r="Q20" s="21">
        <f t="shared" si="21"/>
        <v>1.9915880410917854</v>
      </c>
      <c r="R20" s="21">
        <f t="shared" si="22"/>
        <v>13.375</v>
      </c>
      <c r="S20" s="21">
        <f t="shared" si="12"/>
        <v>16.666666666666668</v>
      </c>
    </row>
    <row r="21" spans="1:19">
      <c r="A21" s="17">
        <f t="shared" si="23"/>
        <v>14</v>
      </c>
      <c r="B21" s="17" t="s">
        <v>83</v>
      </c>
      <c r="C21" s="23">
        <v>20</v>
      </c>
      <c r="D21" s="13" t="s">
        <v>81</v>
      </c>
      <c r="E21" s="13">
        <v>0.5</v>
      </c>
      <c r="F21" s="13">
        <v>9.5</v>
      </c>
      <c r="G21" s="13">
        <v>3</v>
      </c>
      <c r="H21" s="13">
        <f t="shared" si="13"/>
        <v>1.5</v>
      </c>
      <c r="I21" s="13">
        <v>0.31932021466905208</v>
      </c>
      <c r="J21" s="21">
        <f t="shared" si="14"/>
        <v>15</v>
      </c>
      <c r="K21" s="21">
        <f t="shared" si="15"/>
        <v>13.375</v>
      </c>
      <c r="L21" s="22">
        <f t="shared" si="16"/>
        <v>3.21</v>
      </c>
      <c r="M21" s="21">
        <f t="shared" si="17"/>
        <v>26.637490049602629</v>
      </c>
      <c r="N21" s="21">
        <f t="shared" si="18"/>
        <v>13.262490049602629</v>
      </c>
      <c r="O21" s="21">
        <f t="shared" si="19"/>
        <v>99.158804109178533</v>
      </c>
      <c r="P21" s="21">
        <f t="shared" si="20"/>
        <v>5.6311611837556626E-3</v>
      </c>
      <c r="Q21" s="21">
        <f t="shared" si="21"/>
        <v>1.9915880410917854</v>
      </c>
      <c r="R21" s="21">
        <f t="shared" si="22"/>
        <v>13.375</v>
      </c>
      <c r="S21" s="21">
        <f t="shared" si="12"/>
        <v>16.666666666666668</v>
      </c>
    </row>
    <row r="22" spans="1:19">
      <c r="A22" s="17">
        <f t="shared" si="23"/>
        <v>15</v>
      </c>
      <c r="B22" s="24" t="s">
        <v>84</v>
      </c>
      <c r="C22" s="25">
        <v>20</v>
      </c>
      <c r="D22" s="26" t="s">
        <v>21</v>
      </c>
      <c r="E22" s="26">
        <v>0.5</v>
      </c>
      <c r="F22" s="27">
        <v>9.5</v>
      </c>
      <c r="G22" s="26">
        <v>3.5</v>
      </c>
      <c r="H22" s="13">
        <f t="shared" si="13"/>
        <v>1.75</v>
      </c>
      <c r="I22" s="13">
        <v>0.37254025044722744</v>
      </c>
      <c r="J22" s="21">
        <f t="shared" si="14"/>
        <v>15</v>
      </c>
      <c r="K22" s="21">
        <f t="shared" si="15"/>
        <v>13.375</v>
      </c>
      <c r="L22" s="22">
        <f t="shared" si="16"/>
        <v>3.21</v>
      </c>
      <c r="M22" s="21">
        <f t="shared" si="17"/>
        <v>26.637490049602629</v>
      </c>
      <c r="N22" s="21">
        <f t="shared" si="18"/>
        <v>13.262490049602629</v>
      </c>
      <c r="O22" s="21">
        <f t="shared" si="19"/>
        <v>99.158804109178533</v>
      </c>
      <c r="P22" s="21">
        <f t="shared" si="20"/>
        <v>6.5696880477149394E-3</v>
      </c>
      <c r="Q22" s="21">
        <f t="shared" si="21"/>
        <v>1.9915880410917854</v>
      </c>
      <c r="R22" s="21">
        <f t="shared" si="22"/>
        <v>13.375</v>
      </c>
      <c r="S22" s="21">
        <f t="shared" si="12"/>
        <v>16.666666666666668</v>
      </c>
    </row>
    <row r="23" spans="1:19">
      <c r="A23" s="17">
        <f t="shared" si="23"/>
        <v>16</v>
      </c>
      <c r="B23" s="17" t="s">
        <v>79</v>
      </c>
      <c r="C23" s="19" t="s">
        <v>19</v>
      </c>
      <c r="D23" s="13" t="s">
        <v>11</v>
      </c>
      <c r="E23" s="13">
        <v>0.5</v>
      </c>
      <c r="F23" s="20">
        <v>8.5</v>
      </c>
      <c r="G23" s="13">
        <v>2.2999999999999998</v>
      </c>
      <c r="H23" s="13">
        <f t="shared" si="13"/>
        <v>1.1499999999999999</v>
      </c>
      <c r="I23" s="21">
        <v>0.20811965811965813</v>
      </c>
      <c r="J23" s="21">
        <f t="shared" si="14"/>
        <v>60</v>
      </c>
      <c r="K23" s="21">
        <f t="shared" si="15"/>
        <v>24</v>
      </c>
      <c r="L23" s="22">
        <f t="shared" si="16"/>
        <v>1.4400000000000002</v>
      </c>
      <c r="M23" s="21">
        <f t="shared" si="17"/>
        <v>83.578289967222901</v>
      </c>
      <c r="N23" s="21">
        <f t="shared" si="18"/>
        <v>59.578289967222901</v>
      </c>
      <c r="O23" s="21">
        <f t="shared" si="19"/>
        <v>248.24287486342877</v>
      </c>
      <c r="P23" s="21">
        <f t="shared" si="20"/>
        <v>1.375955407141015E-3</v>
      </c>
      <c r="Q23" s="21">
        <f t="shared" si="21"/>
        <v>3.4824287486342875</v>
      </c>
      <c r="R23" s="21">
        <f t="shared" si="22"/>
        <v>24</v>
      </c>
      <c r="S23" s="21">
        <f t="shared" si="12"/>
        <v>66.666666666666671</v>
      </c>
    </row>
    <row r="24" spans="1:19">
      <c r="A24" s="17"/>
      <c r="B24" s="17"/>
      <c r="C24" s="19"/>
      <c r="E24" s="13">
        <v>0.5</v>
      </c>
      <c r="F24" s="20"/>
      <c r="H24" s="13" t="s">
        <v>85</v>
      </c>
      <c r="I24" s="21"/>
      <c r="J24" s="21">
        <v>20000</v>
      </c>
      <c r="K24" s="21"/>
      <c r="L24" s="20"/>
      <c r="M24" s="21"/>
      <c r="N24" s="21"/>
      <c r="O24" s="21"/>
      <c r="P24" s="21"/>
      <c r="Q24" s="21"/>
      <c r="R24" s="21"/>
      <c r="S24" s="21">
        <f t="shared" si="12"/>
        <v>22222.222222222223</v>
      </c>
    </row>
    <row r="25" spans="1:19" ht="30.75" thickBot="1">
      <c r="A25" s="15"/>
      <c r="B25" s="15" t="s">
        <v>3</v>
      </c>
      <c r="C25" s="14" t="s">
        <v>4</v>
      </c>
      <c r="D25" s="14" t="s">
        <v>5</v>
      </c>
      <c r="E25" s="14" t="s">
        <v>6</v>
      </c>
      <c r="F25" s="14" t="s">
        <v>64</v>
      </c>
      <c r="G25" s="14" t="s">
        <v>7</v>
      </c>
      <c r="H25" s="14" t="s">
        <v>65</v>
      </c>
      <c r="I25" s="32" t="s">
        <v>171</v>
      </c>
      <c r="J25" s="14" t="s">
        <v>66</v>
      </c>
      <c r="K25" s="14" t="s">
        <v>125</v>
      </c>
      <c r="L25" s="14" t="s">
        <v>67</v>
      </c>
      <c r="M25" s="14" t="s">
        <v>68</v>
      </c>
      <c r="N25" s="14" t="s">
        <v>172</v>
      </c>
      <c r="O25" s="14" t="s">
        <v>69</v>
      </c>
      <c r="P25" s="14" t="s">
        <v>70</v>
      </c>
      <c r="Q25" s="14" t="s">
        <v>71</v>
      </c>
      <c r="R25" s="14" t="s">
        <v>124</v>
      </c>
      <c r="S25" s="14" t="s">
        <v>8</v>
      </c>
    </row>
    <row r="26" spans="1:19" ht="16.5" thickTop="1">
      <c r="A26" s="17"/>
      <c r="B26" s="17"/>
      <c r="E26" s="13">
        <v>1</v>
      </c>
      <c r="J26" s="13">
        <v>1</v>
      </c>
      <c r="M26" s="21"/>
      <c r="N26" s="21"/>
      <c r="O26" s="21"/>
      <c r="P26" s="21"/>
      <c r="Q26" s="21"/>
      <c r="R26" s="21"/>
      <c r="S26" s="21">
        <f t="shared" ref="S26:S66" si="24">2*J26/3.6/E26</f>
        <v>0.55555555555555558</v>
      </c>
    </row>
    <row r="27" spans="1:19">
      <c r="A27" s="17">
        <f>A23+1</f>
        <v>17</v>
      </c>
      <c r="B27" s="17" t="s">
        <v>86</v>
      </c>
      <c r="C27" s="19">
        <v>150</v>
      </c>
      <c r="D27" s="13" t="s">
        <v>9</v>
      </c>
      <c r="E27" s="13">
        <v>1</v>
      </c>
      <c r="F27" s="20">
        <v>4</v>
      </c>
      <c r="G27" s="13">
        <v>1.8</v>
      </c>
      <c r="H27" s="20">
        <f t="shared" ref="H27:H65" si="25">E27*G27</f>
        <v>1.8</v>
      </c>
      <c r="I27" s="21">
        <v>8.8333333333333333E-2</v>
      </c>
      <c r="J27" s="20">
        <f t="shared" ref="J27:J65" si="26">100/C27*3</f>
        <v>2</v>
      </c>
      <c r="K27" s="21">
        <f t="shared" ref="K27:K65" si="27">F27+$I$2*J27/3.6</f>
        <v>4.5166666666666666</v>
      </c>
      <c r="L27" s="22">
        <f t="shared" ref="L27:L65" si="28">K27*3.6/J27</f>
        <v>8.1300000000000008</v>
      </c>
      <c r="M27" s="21">
        <f t="shared" ref="M27:M65" si="29">K27/(1+(EXP(-L27*E27)-1)/L27/E27)</f>
        <v>5.1499274887973829</v>
      </c>
      <c r="N27" s="21">
        <f t="shared" ref="N27:N65" si="30">M27-K27</f>
        <v>0.63326082213071633</v>
      </c>
      <c r="O27" s="21">
        <f t="shared" ref="O27:O65" si="31">N27/K27*100</f>
        <v>14.020534807322132</v>
      </c>
      <c r="P27" s="21">
        <f t="shared" ref="P27:P65" si="32">$F$2*H27/M27</f>
        <v>3.4951948428701828E-2</v>
      </c>
      <c r="Q27" s="21">
        <f t="shared" ref="Q27:Q65" si="33">M27/K27</f>
        <v>1.1402053480732213</v>
      </c>
      <c r="R27" s="21">
        <f t="shared" ref="R27:R65" si="34">K27</f>
        <v>4.5166666666666666</v>
      </c>
      <c r="S27" s="21">
        <f t="shared" si="24"/>
        <v>1.1111111111111112</v>
      </c>
    </row>
    <row r="28" spans="1:19">
      <c r="A28" s="17">
        <f t="shared" ref="A28:A65" si="35">A27+1</f>
        <v>18</v>
      </c>
      <c r="B28" s="17" t="s">
        <v>87</v>
      </c>
      <c r="C28" s="19">
        <v>100</v>
      </c>
      <c r="D28" s="13" t="s">
        <v>9</v>
      </c>
      <c r="E28" s="13">
        <v>1</v>
      </c>
      <c r="F28" s="20">
        <v>4.0999999999999996</v>
      </c>
      <c r="G28" s="13">
        <v>1.8</v>
      </c>
      <c r="H28" s="20">
        <f t="shared" si="25"/>
        <v>1.8</v>
      </c>
      <c r="I28" s="21">
        <v>8.8333333333333333E-2</v>
      </c>
      <c r="J28" s="20">
        <f t="shared" si="26"/>
        <v>3</v>
      </c>
      <c r="K28" s="21">
        <f t="shared" si="27"/>
        <v>4.875</v>
      </c>
      <c r="L28" s="22">
        <f t="shared" si="28"/>
        <v>5.8500000000000005</v>
      </c>
      <c r="M28" s="21">
        <f t="shared" si="29"/>
        <v>5.8766651128019118</v>
      </c>
      <c r="N28" s="21">
        <f t="shared" si="30"/>
        <v>1.0016651128019118</v>
      </c>
      <c r="O28" s="21">
        <f t="shared" si="31"/>
        <v>20.546976672859728</v>
      </c>
      <c r="P28" s="21">
        <f t="shared" si="32"/>
        <v>3.062961672052443E-2</v>
      </c>
      <c r="Q28" s="21">
        <f t="shared" si="33"/>
        <v>1.2054697667285974</v>
      </c>
      <c r="R28" s="21">
        <f t="shared" si="34"/>
        <v>4.875</v>
      </c>
      <c r="S28" s="21">
        <f t="shared" si="24"/>
        <v>1.6666666666666665</v>
      </c>
    </row>
    <row r="29" spans="1:19">
      <c r="A29" s="17">
        <f t="shared" si="35"/>
        <v>19</v>
      </c>
      <c r="B29" s="17" t="s">
        <v>20</v>
      </c>
      <c r="C29" s="19">
        <v>100</v>
      </c>
      <c r="D29" s="13" t="s">
        <v>21</v>
      </c>
      <c r="E29" s="13">
        <v>1</v>
      </c>
      <c r="F29" s="20">
        <v>4.7</v>
      </c>
      <c r="G29" s="13">
        <v>2</v>
      </c>
      <c r="H29" s="20">
        <f t="shared" si="25"/>
        <v>2</v>
      </c>
      <c r="I29" s="21">
        <v>0.45769230769230773</v>
      </c>
      <c r="J29" s="20">
        <f t="shared" si="26"/>
        <v>3</v>
      </c>
      <c r="K29" s="21">
        <f t="shared" si="27"/>
        <v>5.4750000000000005</v>
      </c>
      <c r="L29" s="22">
        <f t="shared" si="28"/>
        <v>6.57</v>
      </c>
      <c r="M29" s="21">
        <f t="shared" si="29"/>
        <v>6.4563194879802195</v>
      </c>
      <c r="N29" s="21">
        <f t="shared" si="30"/>
        <v>0.98131948798021895</v>
      </c>
      <c r="O29" s="21">
        <f t="shared" si="31"/>
        <v>17.923643616077058</v>
      </c>
      <c r="P29" s="21">
        <f t="shared" si="32"/>
        <v>3.0977401346439188E-2</v>
      </c>
      <c r="Q29" s="21">
        <f t="shared" si="33"/>
        <v>1.1792364361607706</v>
      </c>
      <c r="R29" s="21">
        <f t="shared" si="34"/>
        <v>5.4750000000000005</v>
      </c>
      <c r="S29" s="21">
        <f t="shared" si="24"/>
        <v>1.6666666666666665</v>
      </c>
    </row>
    <row r="30" spans="1:19">
      <c r="A30" s="17">
        <f t="shared" si="35"/>
        <v>20</v>
      </c>
      <c r="B30" s="17" t="s">
        <v>22</v>
      </c>
      <c r="C30" s="19">
        <v>100</v>
      </c>
      <c r="D30" s="13" t="s">
        <v>21</v>
      </c>
      <c r="E30" s="13">
        <v>1</v>
      </c>
      <c r="F30" s="20">
        <v>4.7</v>
      </c>
      <c r="G30" s="13">
        <v>2</v>
      </c>
      <c r="H30" s="20">
        <f t="shared" si="25"/>
        <v>2</v>
      </c>
      <c r="I30" s="21">
        <v>0.45769230769230773</v>
      </c>
      <c r="J30" s="20">
        <f t="shared" si="26"/>
        <v>3</v>
      </c>
      <c r="K30" s="21">
        <f t="shared" si="27"/>
        <v>5.4750000000000005</v>
      </c>
      <c r="L30" s="22">
        <f t="shared" si="28"/>
        <v>6.57</v>
      </c>
      <c r="M30" s="21">
        <f t="shared" si="29"/>
        <v>6.4563194879802195</v>
      </c>
      <c r="N30" s="21">
        <f t="shared" si="30"/>
        <v>0.98131948798021895</v>
      </c>
      <c r="O30" s="21">
        <f t="shared" si="31"/>
        <v>17.923643616077058</v>
      </c>
      <c r="P30" s="21">
        <f t="shared" si="32"/>
        <v>3.0977401346439188E-2</v>
      </c>
      <c r="Q30" s="21">
        <f t="shared" si="33"/>
        <v>1.1792364361607706</v>
      </c>
      <c r="R30" s="21">
        <f t="shared" si="34"/>
        <v>5.4750000000000005</v>
      </c>
      <c r="S30" s="21">
        <f t="shared" si="24"/>
        <v>1.6666666666666665</v>
      </c>
    </row>
    <row r="31" spans="1:19">
      <c r="A31" s="17">
        <f t="shared" si="35"/>
        <v>21</v>
      </c>
      <c r="B31" s="17" t="s">
        <v>23</v>
      </c>
      <c r="C31" s="19" t="s">
        <v>24</v>
      </c>
      <c r="D31" s="13" t="s">
        <v>11</v>
      </c>
      <c r="E31" s="13">
        <v>1</v>
      </c>
      <c r="F31" s="20">
        <v>4.0999999999999996</v>
      </c>
      <c r="G31" s="13">
        <v>3.5</v>
      </c>
      <c r="H31" s="20">
        <f t="shared" si="25"/>
        <v>3.5</v>
      </c>
      <c r="I31" s="21">
        <v>0.20811965811965813</v>
      </c>
      <c r="J31" s="20">
        <f t="shared" si="26"/>
        <v>3</v>
      </c>
      <c r="K31" s="21">
        <f t="shared" si="27"/>
        <v>4.875</v>
      </c>
      <c r="L31" s="22">
        <f t="shared" si="28"/>
        <v>5.8500000000000005</v>
      </c>
      <c r="M31" s="21">
        <f t="shared" si="29"/>
        <v>5.8766651128019118</v>
      </c>
      <c r="N31" s="21">
        <f t="shared" si="30"/>
        <v>1.0016651128019118</v>
      </c>
      <c r="O31" s="21">
        <f t="shared" si="31"/>
        <v>20.546976672859728</v>
      </c>
      <c r="P31" s="21">
        <f t="shared" si="32"/>
        <v>5.9557588067686386E-2</v>
      </c>
      <c r="Q31" s="21">
        <f t="shared" si="33"/>
        <v>1.2054697667285974</v>
      </c>
      <c r="R31" s="21">
        <f t="shared" si="34"/>
        <v>4.875</v>
      </c>
      <c r="S31" s="21">
        <f t="shared" si="24"/>
        <v>1.6666666666666665</v>
      </c>
    </row>
    <row r="32" spans="1:19">
      <c r="A32" s="17">
        <f t="shared" si="35"/>
        <v>22</v>
      </c>
      <c r="B32" s="17" t="s">
        <v>88</v>
      </c>
      <c r="C32" s="19">
        <v>70</v>
      </c>
      <c r="D32" s="13" t="s">
        <v>21</v>
      </c>
      <c r="E32" s="13">
        <v>1</v>
      </c>
      <c r="F32" s="20">
        <v>5.0857142857142863</v>
      </c>
      <c r="G32" s="13">
        <v>2</v>
      </c>
      <c r="H32" s="20">
        <f t="shared" si="25"/>
        <v>2</v>
      </c>
      <c r="I32" s="21">
        <v>0.45769230769230773</v>
      </c>
      <c r="J32" s="20">
        <f t="shared" si="26"/>
        <v>4.2857142857142856</v>
      </c>
      <c r="K32" s="21">
        <f t="shared" si="27"/>
        <v>6.1928571428571431</v>
      </c>
      <c r="L32" s="22">
        <f t="shared" si="28"/>
        <v>5.2020000000000008</v>
      </c>
      <c r="M32" s="21">
        <f t="shared" si="29"/>
        <v>7.6566132909707711</v>
      </c>
      <c r="N32" s="21">
        <f t="shared" si="30"/>
        <v>1.4637561481136281</v>
      </c>
      <c r="O32" s="21">
        <f t="shared" si="31"/>
        <v>23.636200776921328</v>
      </c>
      <c r="P32" s="21">
        <f t="shared" si="32"/>
        <v>2.612120952168949E-2</v>
      </c>
      <c r="Q32" s="21">
        <f t="shared" si="33"/>
        <v>1.2363620077692132</v>
      </c>
      <c r="R32" s="21">
        <f t="shared" si="34"/>
        <v>6.1928571428571431</v>
      </c>
      <c r="S32" s="21">
        <f t="shared" si="24"/>
        <v>2.3809523809523809</v>
      </c>
    </row>
    <row r="33" spans="1:19">
      <c r="A33" s="17">
        <f t="shared" si="35"/>
        <v>23</v>
      </c>
      <c r="B33" s="17" t="s">
        <v>89</v>
      </c>
      <c r="C33" s="19">
        <v>65</v>
      </c>
      <c r="D33" s="13" t="s">
        <v>9</v>
      </c>
      <c r="E33" s="13">
        <v>1</v>
      </c>
      <c r="F33" s="20">
        <v>4.2615384615384615</v>
      </c>
      <c r="G33" s="13">
        <v>1.8</v>
      </c>
      <c r="H33" s="20">
        <f t="shared" si="25"/>
        <v>1.8</v>
      </c>
      <c r="I33" s="21">
        <v>8.8333333333333333E-2</v>
      </c>
      <c r="J33" s="20">
        <f t="shared" si="26"/>
        <v>4.6153846153846159</v>
      </c>
      <c r="K33" s="21">
        <f t="shared" si="27"/>
        <v>5.453846153846154</v>
      </c>
      <c r="L33" s="22">
        <f t="shared" si="28"/>
        <v>4.2539999999999996</v>
      </c>
      <c r="M33" s="21">
        <f t="shared" si="29"/>
        <v>7.0988953493896672</v>
      </c>
      <c r="N33" s="21">
        <f t="shared" si="30"/>
        <v>1.6450491955435131</v>
      </c>
      <c r="O33" s="21">
        <f t="shared" si="31"/>
        <v>30.163102316030567</v>
      </c>
      <c r="P33" s="21">
        <f t="shared" si="32"/>
        <v>2.5356057687971927E-2</v>
      </c>
      <c r="Q33" s="21">
        <f t="shared" si="33"/>
        <v>1.3016310231603057</v>
      </c>
      <c r="R33" s="21">
        <f t="shared" si="34"/>
        <v>5.453846153846154</v>
      </c>
      <c r="S33" s="21">
        <f t="shared" si="24"/>
        <v>2.5641025641025643</v>
      </c>
    </row>
    <row r="34" spans="1:19">
      <c r="A34" s="17">
        <f t="shared" si="35"/>
        <v>24</v>
      </c>
      <c r="B34" s="17" t="s">
        <v>90</v>
      </c>
      <c r="C34" s="19">
        <v>50</v>
      </c>
      <c r="D34" s="13" t="s">
        <v>9</v>
      </c>
      <c r="E34" s="13">
        <v>1</v>
      </c>
      <c r="F34" s="20">
        <v>3.7</v>
      </c>
      <c r="G34" s="13">
        <v>1.5</v>
      </c>
      <c r="H34" s="20">
        <f t="shared" si="25"/>
        <v>1.5</v>
      </c>
      <c r="I34" s="21">
        <v>7.6068376068376062E-2</v>
      </c>
      <c r="J34" s="20">
        <f t="shared" si="26"/>
        <v>6</v>
      </c>
      <c r="K34" s="21">
        <f t="shared" si="27"/>
        <v>5.25</v>
      </c>
      <c r="L34" s="22">
        <f t="shared" si="28"/>
        <v>3.1500000000000004</v>
      </c>
      <c r="M34" s="21">
        <f t="shared" si="29"/>
        <v>7.5415481953301464</v>
      </c>
      <c r="N34" s="21">
        <f t="shared" si="30"/>
        <v>2.2915481953301464</v>
      </c>
      <c r="O34" s="21">
        <f t="shared" si="31"/>
        <v>43.648537053907546</v>
      </c>
      <c r="P34" s="21">
        <f t="shared" si="32"/>
        <v>1.988981520967837E-2</v>
      </c>
      <c r="Q34" s="21">
        <f t="shared" si="33"/>
        <v>1.4364853705390754</v>
      </c>
      <c r="R34" s="21">
        <f t="shared" si="34"/>
        <v>5.25</v>
      </c>
      <c r="S34" s="21">
        <f t="shared" si="24"/>
        <v>3.333333333333333</v>
      </c>
    </row>
    <row r="35" spans="1:19">
      <c r="A35" s="17">
        <f t="shared" si="35"/>
        <v>25</v>
      </c>
      <c r="B35" s="17" t="s">
        <v>25</v>
      </c>
      <c r="C35" s="19">
        <v>40</v>
      </c>
      <c r="D35" s="13" t="s">
        <v>21</v>
      </c>
      <c r="E35" s="13">
        <v>1</v>
      </c>
      <c r="F35" s="20">
        <v>6.5</v>
      </c>
      <c r="G35" s="13">
        <v>3.8</v>
      </c>
      <c r="H35" s="20">
        <f t="shared" si="25"/>
        <v>3.8</v>
      </c>
      <c r="I35" s="21">
        <v>0.45769230769230773</v>
      </c>
      <c r="J35" s="20">
        <f t="shared" si="26"/>
        <v>7.5</v>
      </c>
      <c r="K35" s="21">
        <f t="shared" si="27"/>
        <v>8.4375</v>
      </c>
      <c r="L35" s="22">
        <f t="shared" si="28"/>
        <v>4.05</v>
      </c>
      <c r="M35" s="21">
        <f t="shared" si="29"/>
        <v>11.140257462592233</v>
      </c>
      <c r="N35" s="21">
        <f t="shared" si="30"/>
        <v>2.702757462592233</v>
      </c>
      <c r="O35" s="21">
        <f t="shared" si="31"/>
        <v>32.032681038130164</v>
      </c>
      <c r="P35" s="21">
        <f t="shared" si="32"/>
        <v>3.4110522245648131E-2</v>
      </c>
      <c r="Q35" s="21">
        <f t="shared" si="33"/>
        <v>1.3203268103813017</v>
      </c>
      <c r="R35" s="21">
        <f t="shared" si="34"/>
        <v>8.4375</v>
      </c>
      <c r="S35" s="21">
        <f t="shared" si="24"/>
        <v>4.166666666666667</v>
      </c>
    </row>
    <row r="36" spans="1:19">
      <c r="A36" s="17">
        <f t="shared" si="35"/>
        <v>26</v>
      </c>
      <c r="B36" s="17" t="s">
        <v>26</v>
      </c>
      <c r="C36" s="19">
        <v>40</v>
      </c>
      <c r="D36" s="13" t="s">
        <v>27</v>
      </c>
      <c r="E36" s="13">
        <v>1</v>
      </c>
      <c r="F36" s="20">
        <v>10.75</v>
      </c>
      <c r="G36" s="13">
        <v>8</v>
      </c>
      <c r="H36" s="20">
        <f t="shared" si="25"/>
        <v>8</v>
      </c>
      <c r="I36" s="21">
        <v>0.84914529914529913</v>
      </c>
      <c r="J36" s="20">
        <f t="shared" si="26"/>
        <v>7.5</v>
      </c>
      <c r="K36" s="21">
        <f t="shared" si="27"/>
        <v>12.6875</v>
      </c>
      <c r="L36" s="22">
        <f t="shared" si="28"/>
        <v>6.0900000000000007</v>
      </c>
      <c r="M36" s="21">
        <f t="shared" si="29"/>
        <v>15.173379389207041</v>
      </c>
      <c r="N36" s="21">
        <f t="shared" si="30"/>
        <v>2.4858793892070405</v>
      </c>
      <c r="O36" s="21">
        <f t="shared" si="31"/>
        <v>19.593138043011159</v>
      </c>
      <c r="P36" s="21">
        <f t="shared" si="32"/>
        <v>5.2723917294854379E-2</v>
      </c>
      <c r="Q36" s="21">
        <f t="shared" si="33"/>
        <v>1.1959313804301115</v>
      </c>
      <c r="R36" s="21">
        <f t="shared" si="34"/>
        <v>12.6875</v>
      </c>
      <c r="S36" s="21">
        <f t="shared" si="24"/>
        <v>4.166666666666667</v>
      </c>
    </row>
    <row r="37" spans="1:19">
      <c r="A37" s="17">
        <f t="shared" si="35"/>
        <v>27</v>
      </c>
      <c r="B37" s="17" t="s">
        <v>91</v>
      </c>
      <c r="C37" s="19">
        <v>35</v>
      </c>
      <c r="D37" s="13" t="s">
        <v>9</v>
      </c>
      <c r="E37" s="13">
        <v>1</v>
      </c>
      <c r="F37" s="20">
        <v>6.7142857142857144</v>
      </c>
      <c r="G37" s="13">
        <v>1.8</v>
      </c>
      <c r="H37" s="20">
        <f t="shared" si="25"/>
        <v>1.8</v>
      </c>
      <c r="I37" s="21">
        <v>0.08</v>
      </c>
      <c r="J37" s="20">
        <f t="shared" si="26"/>
        <v>8.5714285714285712</v>
      </c>
      <c r="K37" s="21">
        <f t="shared" si="27"/>
        <v>8.9285714285714288</v>
      </c>
      <c r="L37" s="22">
        <f t="shared" si="28"/>
        <v>3.7500000000000004</v>
      </c>
      <c r="M37" s="21">
        <f t="shared" si="29"/>
        <v>12.072085317344543</v>
      </c>
      <c r="N37" s="21">
        <f t="shared" si="30"/>
        <v>3.1435138887731142</v>
      </c>
      <c r="O37" s="21">
        <f t="shared" si="31"/>
        <v>35.207355554258882</v>
      </c>
      <c r="P37" s="21">
        <f t="shared" si="32"/>
        <v>1.4910431401721904E-2</v>
      </c>
      <c r="Q37" s="21">
        <f t="shared" si="33"/>
        <v>1.3520735555425887</v>
      </c>
      <c r="R37" s="21">
        <f t="shared" si="34"/>
        <v>8.9285714285714288</v>
      </c>
      <c r="S37" s="21">
        <f t="shared" si="24"/>
        <v>4.7619047619047619</v>
      </c>
    </row>
    <row r="38" spans="1:19">
      <c r="A38" s="17">
        <f t="shared" si="35"/>
        <v>28</v>
      </c>
      <c r="B38" s="17" t="s">
        <v>92</v>
      </c>
      <c r="C38" s="19">
        <v>35</v>
      </c>
      <c r="D38" s="13" t="s">
        <v>27</v>
      </c>
      <c r="E38" s="13">
        <v>1</v>
      </c>
      <c r="F38" s="20">
        <v>5.8571428571428577</v>
      </c>
      <c r="G38" s="13">
        <v>7.8</v>
      </c>
      <c r="H38" s="20">
        <f t="shared" si="25"/>
        <v>7.8</v>
      </c>
      <c r="I38" s="21">
        <v>0.81666666666666665</v>
      </c>
      <c r="J38" s="20">
        <f t="shared" si="26"/>
        <v>8.5714285714285712</v>
      </c>
      <c r="K38" s="21">
        <f t="shared" si="27"/>
        <v>8.071428571428573</v>
      </c>
      <c r="L38" s="22">
        <f t="shared" si="28"/>
        <v>3.390000000000001</v>
      </c>
      <c r="M38" s="21">
        <f t="shared" si="29"/>
        <v>11.289369517851764</v>
      </c>
      <c r="N38" s="21">
        <f t="shared" si="30"/>
        <v>3.217940946423191</v>
      </c>
      <c r="O38" s="21">
        <f t="shared" si="31"/>
        <v>39.868294911437758</v>
      </c>
      <c r="P38" s="21">
        <f t="shared" si="32"/>
        <v>6.9091546588726155E-2</v>
      </c>
      <c r="Q38" s="21">
        <f t="shared" si="33"/>
        <v>1.3986829491143775</v>
      </c>
      <c r="R38" s="21">
        <f t="shared" si="34"/>
        <v>8.071428571428573</v>
      </c>
      <c r="S38" s="21">
        <f t="shared" si="24"/>
        <v>4.7619047619047619</v>
      </c>
    </row>
    <row r="39" spans="1:19">
      <c r="A39" s="17">
        <f t="shared" si="35"/>
        <v>29</v>
      </c>
      <c r="B39" s="17" t="s">
        <v>93</v>
      </c>
      <c r="C39" s="19">
        <v>25</v>
      </c>
      <c r="D39" s="13" t="s">
        <v>9</v>
      </c>
      <c r="E39" s="13">
        <v>1</v>
      </c>
      <c r="F39" s="20">
        <v>7.4</v>
      </c>
      <c r="G39" s="13">
        <v>1.8</v>
      </c>
      <c r="H39" s="20">
        <f t="shared" si="25"/>
        <v>1.8</v>
      </c>
      <c r="I39" s="21">
        <v>7.8333333333333324E-2</v>
      </c>
      <c r="J39" s="20">
        <f t="shared" si="26"/>
        <v>12</v>
      </c>
      <c r="K39" s="21">
        <f t="shared" si="27"/>
        <v>10.5</v>
      </c>
      <c r="L39" s="22">
        <f t="shared" si="28"/>
        <v>3.1500000000000004</v>
      </c>
      <c r="M39" s="21">
        <f t="shared" si="29"/>
        <v>15.083096390660293</v>
      </c>
      <c r="N39" s="21">
        <f t="shared" si="30"/>
        <v>4.5830963906602928</v>
      </c>
      <c r="O39" s="21">
        <f t="shared" si="31"/>
        <v>43.648537053907546</v>
      </c>
      <c r="P39" s="21">
        <f t="shared" si="32"/>
        <v>1.1933889125807022E-2</v>
      </c>
      <c r="Q39" s="21">
        <f t="shared" si="33"/>
        <v>1.4364853705390754</v>
      </c>
      <c r="R39" s="21">
        <f t="shared" si="34"/>
        <v>10.5</v>
      </c>
      <c r="S39" s="21">
        <f t="shared" si="24"/>
        <v>6.6666666666666661</v>
      </c>
    </row>
    <row r="40" spans="1:19">
      <c r="A40" s="17">
        <f t="shared" si="35"/>
        <v>30</v>
      </c>
      <c r="B40" s="17" t="s">
        <v>94</v>
      </c>
      <c r="C40" s="19">
        <v>25</v>
      </c>
      <c r="D40" s="13" t="s">
        <v>9</v>
      </c>
      <c r="E40" s="13">
        <v>1</v>
      </c>
      <c r="F40" s="20">
        <v>7.4</v>
      </c>
      <c r="G40" s="13">
        <v>1.5</v>
      </c>
      <c r="H40" s="20">
        <f t="shared" si="25"/>
        <v>1.5</v>
      </c>
      <c r="I40" s="21">
        <v>7.0789473684210527E-2</v>
      </c>
      <c r="J40" s="20">
        <f t="shared" si="26"/>
        <v>12</v>
      </c>
      <c r="K40" s="21">
        <f t="shared" si="27"/>
        <v>10.5</v>
      </c>
      <c r="L40" s="22">
        <f t="shared" si="28"/>
        <v>3.1500000000000004</v>
      </c>
      <c r="M40" s="21">
        <f t="shared" si="29"/>
        <v>15.083096390660293</v>
      </c>
      <c r="N40" s="21">
        <f t="shared" si="30"/>
        <v>4.5830963906602928</v>
      </c>
      <c r="O40" s="21">
        <f t="shared" si="31"/>
        <v>43.648537053907546</v>
      </c>
      <c r="P40" s="21">
        <f t="shared" si="32"/>
        <v>9.944907604839185E-3</v>
      </c>
      <c r="Q40" s="21">
        <f t="shared" si="33"/>
        <v>1.4364853705390754</v>
      </c>
      <c r="R40" s="21">
        <f t="shared" si="34"/>
        <v>10.5</v>
      </c>
      <c r="S40" s="21">
        <f t="shared" si="24"/>
        <v>6.6666666666666661</v>
      </c>
    </row>
    <row r="41" spans="1:19">
      <c r="A41" s="17">
        <f t="shared" si="35"/>
        <v>31</v>
      </c>
      <c r="B41" s="17" t="s">
        <v>95</v>
      </c>
      <c r="C41" s="19">
        <v>25</v>
      </c>
      <c r="D41" s="13" t="s">
        <v>21</v>
      </c>
      <c r="E41" s="13">
        <v>1</v>
      </c>
      <c r="F41" s="20">
        <v>8.6</v>
      </c>
      <c r="G41" s="13">
        <v>3.3</v>
      </c>
      <c r="H41" s="20">
        <f t="shared" si="25"/>
        <v>3.3</v>
      </c>
      <c r="I41" s="21">
        <v>0.32083333333333341</v>
      </c>
      <c r="J41" s="20">
        <f t="shared" si="26"/>
        <v>12</v>
      </c>
      <c r="K41" s="21">
        <f t="shared" si="27"/>
        <v>11.7</v>
      </c>
      <c r="L41" s="22">
        <f t="shared" si="28"/>
        <v>3.51</v>
      </c>
      <c r="M41" s="21">
        <f t="shared" si="29"/>
        <v>16.168766443461823</v>
      </c>
      <c r="N41" s="21">
        <f t="shared" si="30"/>
        <v>4.4687664434618242</v>
      </c>
      <c r="O41" s="21">
        <f t="shared" si="31"/>
        <v>38.194584986853201</v>
      </c>
      <c r="P41" s="21">
        <f t="shared" si="32"/>
        <v>2.0409720256268676E-2</v>
      </c>
      <c r="Q41" s="21">
        <f t="shared" si="33"/>
        <v>1.381945849868532</v>
      </c>
      <c r="R41" s="21">
        <f t="shared" si="34"/>
        <v>11.7</v>
      </c>
      <c r="S41" s="21">
        <f t="shared" si="24"/>
        <v>6.6666666666666661</v>
      </c>
    </row>
    <row r="42" spans="1:19">
      <c r="A42" s="17">
        <f t="shared" si="35"/>
        <v>32</v>
      </c>
      <c r="B42" s="17" t="s">
        <v>96</v>
      </c>
      <c r="C42" s="19">
        <v>25</v>
      </c>
      <c r="D42" s="13" t="s">
        <v>9</v>
      </c>
      <c r="E42" s="13">
        <v>1</v>
      </c>
      <c r="F42" s="20">
        <v>7.4</v>
      </c>
      <c r="G42" s="13">
        <v>1.5</v>
      </c>
      <c r="H42" s="20">
        <f t="shared" si="25"/>
        <v>1.5</v>
      </c>
      <c r="I42" s="21">
        <v>7.0789473684210527E-2</v>
      </c>
      <c r="J42" s="20">
        <f t="shared" si="26"/>
        <v>12</v>
      </c>
      <c r="K42" s="21">
        <f t="shared" si="27"/>
        <v>10.5</v>
      </c>
      <c r="L42" s="22">
        <f t="shared" si="28"/>
        <v>3.1500000000000004</v>
      </c>
      <c r="M42" s="21">
        <f t="shared" si="29"/>
        <v>15.083096390660293</v>
      </c>
      <c r="N42" s="21">
        <f t="shared" si="30"/>
        <v>4.5830963906602928</v>
      </c>
      <c r="O42" s="21">
        <f t="shared" si="31"/>
        <v>43.648537053907546</v>
      </c>
      <c r="P42" s="21">
        <f t="shared" si="32"/>
        <v>9.944907604839185E-3</v>
      </c>
      <c r="Q42" s="21">
        <f t="shared" si="33"/>
        <v>1.4364853705390754</v>
      </c>
      <c r="R42" s="21">
        <f t="shared" si="34"/>
        <v>10.5</v>
      </c>
      <c r="S42" s="21">
        <f t="shared" si="24"/>
        <v>6.6666666666666661</v>
      </c>
    </row>
    <row r="43" spans="1:19">
      <c r="A43" s="17">
        <f t="shared" si="35"/>
        <v>33</v>
      </c>
      <c r="B43" s="17" t="s">
        <v>97</v>
      </c>
      <c r="C43" s="19">
        <v>25</v>
      </c>
      <c r="D43" s="13" t="s">
        <v>21</v>
      </c>
      <c r="E43" s="13">
        <v>1</v>
      </c>
      <c r="F43" s="20">
        <v>8.6</v>
      </c>
      <c r="G43" s="13">
        <v>4.5</v>
      </c>
      <c r="H43" s="20">
        <f t="shared" si="25"/>
        <v>4.5</v>
      </c>
      <c r="I43" s="21">
        <v>0.36388888888888882</v>
      </c>
      <c r="J43" s="20">
        <f t="shared" si="26"/>
        <v>12</v>
      </c>
      <c r="K43" s="21">
        <f t="shared" si="27"/>
        <v>11.7</v>
      </c>
      <c r="L43" s="22">
        <f t="shared" si="28"/>
        <v>3.51</v>
      </c>
      <c r="M43" s="21">
        <f t="shared" si="29"/>
        <v>16.168766443461823</v>
      </c>
      <c r="N43" s="21">
        <f t="shared" si="30"/>
        <v>4.4687664434618242</v>
      </c>
      <c r="O43" s="21">
        <f t="shared" si="31"/>
        <v>38.194584986853201</v>
      </c>
      <c r="P43" s="21">
        <f t="shared" si="32"/>
        <v>2.7831436713093648E-2</v>
      </c>
      <c r="Q43" s="21">
        <f t="shared" si="33"/>
        <v>1.381945849868532</v>
      </c>
      <c r="R43" s="21">
        <f t="shared" si="34"/>
        <v>11.7</v>
      </c>
      <c r="S43" s="21">
        <f t="shared" si="24"/>
        <v>6.6666666666666661</v>
      </c>
    </row>
    <row r="44" spans="1:19">
      <c r="A44" s="17">
        <f t="shared" si="35"/>
        <v>34</v>
      </c>
      <c r="B44" s="17" t="s">
        <v>98</v>
      </c>
      <c r="C44" s="19">
        <v>25</v>
      </c>
      <c r="D44" s="13" t="s">
        <v>21</v>
      </c>
      <c r="E44" s="13">
        <v>1</v>
      </c>
      <c r="F44" s="20">
        <v>8.6</v>
      </c>
      <c r="G44" s="13">
        <v>3.5</v>
      </c>
      <c r="H44" s="20">
        <f t="shared" si="25"/>
        <v>3.5</v>
      </c>
      <c r="I44" s="21">
        <v>0.43333333333333335</v>
      </c>
      <c r="J44" s="20">
        <f t="shared" si="26"/>
        <v>12</v>
      </c>
      <c r="K44" s="21">
        <f t="shared" si="27"/>
        <v>11.7</v>
      </c>
      <c r="L44" s="22">
        <f t="shared" si="28"/>
        <v>3.51</v>
      </c>
      <c r="M44" s="21">
        <f t="shared" si="29"/>
        <v>16.168766443461823</v>
      </c>
      <c r="N44" s="21">
        <f t="shared" si="30"/>
        <v>4.4687664434618242</v>
      </c>
      <c r="O44" s="21">
        <f t="shared" si="31"/>
        <v>38.194584986853201</v>
      </c>
      <c r="P44" s="21">
        <f t="shared" si="32"/>
        <v>2.1646672999072841E-2</v>
      </c>
      <c r="Q44" s="21">
        <f t="shared" si="33"/>
        <v>1.381945849868532</v>
      </c>
      <c r="R44" s="21">
        <f t="shared" si="34"/>
        <v>11.7</v>
      </c>
      <c r="S44" s="21">
        <f t="shared" si="24"/>
        <v>6.6666666666666661</v>
      </c>
    </row>
    <row r="45" spans="1:19">
      <c r="A45" s="17">
        <f t="shared" si="35"/>
        <v>35</v>
      </c>
      <c r="B45" s="17" t="s">
        <v>99</v>
      </c>
      <c r="C45" s="19" t="s">
        <v>28</v>
      </c>
      <c r="D45" s="13" t="s">
        <v>9</v>
      </c>
      <c r="E45" s="13">
        <v>1</v>
      </c>
      <c r="F45" s="20">
        <v>3.7</v>
      </c>
      <c r="G45" s="13">
        <v>1.5</v>
      </c>
      <c r="H45" s="20">
        <f t="shared" si="25"/>
        <v>1.5</v>
      </c>
      <c r="I45" s="21">
        <v>7.6068376068376062E-2</v>
      </c>
      <c r="J45" s="20">
        <f t="shared" si="26"/>
        <v>12</v>
      </c>
      <c r="K45" s="21">
        <f t="shared" si="27"/>
        <v>6.8000000000000007</v>
      </c>
      <c r="L45" s="22">
        <f t="shared" si="28"/>
        <v>2.0400000000000005</v>
      </c>
      <c r="M45" s="21">
        <f t="shared" si="29"/>
        <v>11.856119316580941</v>
      </c>
      <c r="N45" s="21">
        <f t="shared" si="30"/>
        <v>5.0561193165809399</v>
      </c>
      <c r="O45" s="21">
        <f t="shared" si="31"/>
        <v>74.354695832072636</v>
      </c>
      <c r="P45" s="21">
        <f t="shared" si="32"/>
        <v>1.2651694538045263E-2</v>
      </c>
      <c r="Q45" s="21">
        <f t="shared" si="33"/>
        <v>1.7435469583207264</v>
      </c>
      <c r="R45" s="21">
        <f t="shared" si="34"/>
        <v>6.8000000000000007</v>
      </c>
      <c r="S45" s="21">
        <f t="shared" si="24"/>
        <v>6.6666666666666661</v>
      </c>
    </row>
    <row r="46" spans="1:19">
      <c r="A46" s="17">
        <f t="shared" si="35"/>
        <v>36</v>
      </c>
      <c r="B46" s="17" t="s">
        <v>100</v>
      </c>
      <c r="C46" s="19">
        <v>20</v>
      </c>
      <c r="D46" s="13" t="s">
        <v>21</v>
      </c>
      <c r="E46" s="13">
        <v>1</v>
      </c>
      <c r="F46" s="20">
        <v>9.5</v>
      </c>
      <c r="G46" s="13">
        <v>3.3</v>
      </c>
      <c r="H46" s="20">
        <f t="shared" si="25"/>
        <v>3.3</v>
      </c>
      <c r="I46" s="21">
        <v>0.36388888888888882</v>
      </c>
      <c r="J46" s="20">
        <f t="shared" si="26"/>
        <v>15</v>
      </c>
      <c r="K46" s="21">
        <f t="shared" si="27"/>
        <v>13.375</v>
      </c>
      <c r="L46" s="22">
        <f t="shared" si="28"/>
        <v>3.21</v>
      </c>
      <c r="M46" s="21">
        <f t="shared" si="29"/>
        <v>19.078642801228774</v>
      </c>
      <c r="N46" s="21">
        <f t="shared" si="30"/>
        <v>5.7036428012287743</v>
      </c>
      <c r="O46" s="21">
        <f t="shared" si="31"/>
        <v>42.644058326944105</v>
      </c>
      <c r="P46" s="21">
        <f t="shared" si="32"/>
        <v>1.7296827842426303E-2</v>
      </c>
      <c r="Q46" s="21">
        <f t="shared" si="33"/>
        <v>1.4264405832694411</v>
      </c>
      <c r="R46" s="21">
        <f t="shared" si="34"/>
        <v>13.375</v>
      </c>
      <c r="S46" s="21">
        <f t="shared" si="24"/>
        <v>8.3333333333333339</v>
      </c>
    </row>
    <row r="47" spans="1:19">
      <c r="A47" s="17">
        <f t="shared" si="35"/>
        <v>37</v>
      </c>
      <c r="B47" s="17" t="s">
        <v>101</v>
      </c>
      <c r="C47" s="19">
        <v>20</v>
      </c>
      <c r="D47" s="13" t="s">
        <v>21</v>
      </c>
      <c r="E47" s="13">
        <v>1</v>
      </c>
      <c r="F47" s="20">
        <v>9.5</v>
      </c>
      <c r="G47" s="13">
        <v>3.3</v>
      </c>
      <c r="H47" s="20">
        <f t="shared" si="25"/>
        <v>3.3</v>
      </c>
      <c r="I47" s="21">
        <v>0.44122807017543858</v>
      </c>
      <c r="J47" s="20">
        <f t="shared" si="26"/>
        <v>15</v>
      </c>
      <c r="K47" s="21">
        <f t="shared" si="27"/>
        <v>13.375</v>
      </c>
      <c r="L47" s="22">
        <f t="shared" si="28"/>
        <v>3.21</v>
      </c>
      <c r="M47" s="21">
        <f t="shared" si="29"/>
        <v>19.078642801228774</v>
      </c>
      <c r="N47" s="21">
        <f t="shared" si="30"/>
        <v>5.7036428012287743</v>
      </c>
      <c r="O47" s="21">
        <f t="shared" si="31"/>
        <v>42.644058326944105</v>
      </c>
      <c r="P47" s="21">
        <f t="shared" si="32"/>
        <v>1.7296827842426303E-2</v>
      </c>
      <c r="Q47" s="21">
        <f t="shared" si="33"/>
        <v>1.4264405832694411</v>
      </c>
      <c r="R47" s="21">
        <f t="shared" si="34"/>
        <v>13.375</v>
      </c>
      <c r="S47" s="21">
        <f t="shared" si="24"/>
        <v>8.3333333333333339</v>
      </c>
    </row>
    <row r="48" spans="1:19">
      <c r="A48" s="17">
        <f t="shared" si="35"/>
        <v>38</v>
      </c>
      <c r="B48" s="17" t="s">
        <v>102</v>
      </c>
      <c r="C48" s="19">
        <v>20</v>
      </c>
      <c r="D48" s="13" t="s">
        <v>21</v>
      </c>
      <c r="E48" s="13">
        <v>1</v>
      </c>
      <c r="F48" s="20">
        <v>6.8</v>
      </c>
      <c r="G48" s="13">
        <v>3.3</v>
      </c>
      <c r="H48" s="20">
        <f t="shared" si="25"/>
        <v>3.3</v>
      </c>
      <c r="I48" s="21">
        <v>0.45769230769230773</v>
      </c>
      <c r="J48" s="20">
        <f t="shared" si="26"/>
        <v>15</v>
      </c>
      <c r="K48" s="21">
        <f t="shared" si="27"/>
        <v>10.675000000000001</v>
      </c>
      <c r="L48" s="22">
        <f t="shared" si="28"/>
        <v>2.5620000000000003</v>
      </c>
      <c r="M48" s="21">
        <f t="shared" si="29"/>
        <v>16.685077776243578</v>
      </c>
      <c r="N48" s="21">
        <f t="shared" si="30"/>
        <v>6.0100777762435769</v>
      </c>
      <c r="O48" s="21">
        <f t="shared" si="31"/>
        <v>56.300494391040537</v>
      </c>
      <c r="P48" s="21">
        <f t="shared" si="32"/>
        <v>1.9778151736868626E-2</v>
      </c>
      <c r="Q48" s="21">
        <f t="shared" si="33"/>
        <v>1.5630049439104052</v>
      </c>
      <c r="R48" s="21">
        <f t="shared" si="34"/>
        <v>10.675000000000001</v>
      </c>
      <c r="S48" s="21">
        <f t="shared" si="24"/>
        <v>8.3333333333333339</v>
      </c>
    </row>
    <row r="49" spans="1:19">
      <c r="A49" s="17">
        <f t="shared" si="35"/>
        <v>39</v>
      </c>
      <c r="B49" s="17" t="s">
        <v>29</v>
      </c>
      <c r="C49" s="19" t="s">
        <v>18</v>
      </c>
      <c r="D49" s="13" t="s">
        <v>11</v>
      </c>
      <c r="E49" s="13">
        <v>1</v>
      </c>
      <c r="F49" s="20">
        <v>6.8</v>
      </c>
      <c r="G49" s="13">
        <v>2</v>
      </c>
      <c r="H49" s="20">
        <f t="shared" si="25"/>
        <v>2</v>
      </c>
      <c r="I49" s="21">
        <v>0.20811965811965813</v>
      </c>
      <c r="J49" s="20">
        <f t="shared" si="26"/>
        <v>15</v>
      </c>
      <c r="K49" s="21">
        <f t="shared" si="27"/>
        <v>10.675000000000001</v>
      </c>
      <c r="L49" s="22">
        <f t="shared" si="28"/>
        <v>2.5620000000000003</v>
      </c>
      <c r="M49" s="21">
        <f t="shared" si="29"/>
        <v>16.685077776243578</v>
      </c>
      <c r="N49" s="21">
        <f t="shared" si="30"/>
        <v>6.0100777762435769</v>
      </c>
      <c r="O49" s="21">
        <f t="shared" si="31"/>
        <v>56.300494391040537</v>
      </c>
      <c r="P49" s="21">
        <f t="shared" si="32"/>
        <v>1.1986758628405227E-2</v>
      </c>
      <c r="Q49" s="21">
        <f t="shared" si="33"/>
        <v>1.5630049439104052</v>
      </c>
      <c r="R49" s="21">
        <f t="shared" si="34"/>
        <v>10.675000000000001</v>
      </c>
      <c r="S49" s="21">
        <f t="shared" si="24"/>
        <v>8.3333333333333339</v>
      </c>
    </row>
    <row r="50" spans="1:19">
      <c r="A50" s="17">
        <f t="shared" si="35"/>
        <v>40</v>
      </c>
      <c r="B50" s="28" t="s">
        <v>105</v>
      </c>
      <c r="C50" s="23">
        <v>20</v>
      </c>
      <c r="D50" s="20" t="s">
        <v>81</v>
      </c>
      <c r="E50" s="13">
        <v>1</v>
      </c>
      <c r="F50" s="20">
        <v>9.5</v>
      </c>
      <c r="G50" s="20">
        <v>3</v>
      </c>
      <c r="H50" s="20">
        <f t="shared" si="25"/>
        <v>3</v>
      </c>
      <c r="I50" s="21">
        <v>0.31932021466905208</v>
      </c>
      <c r="J50" s="20">
        <f t="shared" si="26"/>
        <v>15</v>
      </c>
      <c r="K50" s="21">
        <f t="shared" si="27"/>
        <v>13.375</v>
      </c>
      <c r="L50" s="22">
        <f t="shared" si="28"/>
        <v>3.21</v>
      </c>
      <c r="M50" s="21">
        <f t="shared" si="29"/>
        <v>19.078642801228774</v>
      </c>
      <c r="N50" s="21">
        <f t="shared" si="30"/>
        <v>5.7036428012287743</v>
      </c>
      <c r="O50" s="21">
        <f t="shared" si="31"/>
        <v>42.644058326944105</v>
      </c>
      <c r="P50" s="21">
        <f t="shared" si="32"/>
        <v>1.5724388947660276E-2</v>
      </c>
      <c r="Q50" s="21">
        <f t="shared" si="33"/>
        <v>1.4264405832694411</v>
      </c>
      <c r="R50" s="21">
        <f t="shared" si="34"/>
        <v>13.375</v>
      </c>
      <c r="S50" s="21">
        <f t="shared" si="24"/>
        <v>8.3333333333333339</v>
      </c>
    </row>
    <row r="51" spans="1:19">
      <c r="A51" s="17">
        <f t="shared" si="35"/>
        <v>41</v>
      </c>
      <c r="B51" s="28" t="s">
        <v>106</v>
      </c>
      <c r="C51" s="23">
        <v>20</v>
      </c>
      <c r="D51" s="20" t="s">
        <v>107</v>
      </c>
      <c r="E51" s="13">
        <v>1</v>
      </c>
      <c r="F51" s="20">
        <v>9.5</v>
      </c>
      <c r="G51" s="20">
        <v>4.5</v>
      </c>
      <c r="H51" s="20">
        <f t="shared" si="25"/>
        <v>4.5</v>
      </c>
      <c r="I51" s="21">
        <v>0.47898032200357799</v>
      </c>
      <c r="J51" s="20">
        <f t="shared" si="26"/>
        <v>15</v>
      </c>
      <c r="K51" s="21">
        <f t="shared" si="27"/>
        <v>13.375</v>
      </c>
      <c r="L51" s="22">
        <f t="shared" si="28"/>
        <v>3.21</v>
      </c>
      <c r="M51" s="21">
        <f t="shared" si="29"/>
        <v>19.078642801228774</v>
      </c>
      <c r="N51" s="21">
        <f t="shared" si="30"/>
        <v>5.7036428012287743</v>
      </c>
      <c r="O51" s="21">
        <f t="shared" si="31"/>
        <v>42.644058326944105</v>
      </c>
      <c r="P51" s="21">
        <f t="shared" si="32"/>
        <v>2.3586583421490413E-2</v>
      </c>
      <c r="Q51" s="21">
        <f t="shared" si="33"/>
        <v>1.4264405832694411</v>
      </c>
      <c r="R51" s="21">
        <f t="shared" si="34"/>
        <v>13.375</v>
      </c>
      <c r="S51" s="21">
        <f t="shared" si="24"/>
        <v>8.3333333333333339</v>
      </c>
    </row>
    <row r="52" spans="1:19">
      <c r="A52" s="17">
        <f t="shared" si="35"/>
        <v>42</v>
      </c>
      <c r="B52" s="28" t="s">
        <v>108</v>
      </c>
      <c r="C52" s="23">
        <v>20</v>
      </c>
      <c r="D52" s="20" t="s">
        <v>11</v>
      </c>
      <c r="E52" s="13">
        <v>1</v>
      </c>
      <c r="F52" s="20">
        <v>9.5</v>
      </c>
      <c r="G52" s="20">
        <v>2.5</v>
      </c>
      <c r="H52" s="20">
        <f t="shared" si="25"/>
        <v>2.5</v>
      </c>
      <c r="I52" s="21">
        <v>0.26610017889087673</v>
      </c>
      <c r="J52" s="20">
        <f t="shared" si="26"/>
        <v>15</v>
      </c>
      <c r="K52" s="21">
        <f t="shared" si="27"/>
        <v>13.375</v>
      </c>
      <c r="L52" s="22">
        <f t="shared" si="28"/>
        <v>3.21</v>
      </c>
      <c r="M52" s="21">
        <f t="shared" si="29"/>
        <v>19.078642801228774</v>
      </c>
      <c r="N52" s="21">
        <f t="shared" si="30"/>
        <v>5.7036428012287743</v>
      </c>
      <c r="O52" s="21">
        <f t="shared" si="31"/>
        <v>42.644058326944105</v>
      </c>
      <c r="P52" s="21">
        <f t="shared" si="32"/>
        <v>1.3103657456383562E-2</v>
      </c>
      <c r="Q52" s="21">
        <f t="shared" si="33"/>
        <v>1.4264405832694411</v>
      </c>
      <c r="R52" s="21">
        <f t="shared" si="34"/>
        <v>13.375</v>
      </c>
      <c r="S52" s="21">
        <f t="shared" si="24"/>
        <v>8.3333333333333339</v>
      </c>
    </row>
    <row r="53" spans="1:19">
      <c r="A53" s="17">
        <f t="shared" si="35"/>
        <v>43</v>
      </c>
      <c r="B53" s="28" t="s">
        <v>109</v>
      </c>
      <c r="C53" s="23">
        <v>20</v>
      </c>
      <c r="D53" s="20" t="s">
        <v>11</v>
      </c>
      <c r="E53" s="13">
        <v>1</v>
      </c>
      <c r="F53" s="20">
        <v>9.5</v>
      </c>
      <c r="G53" s="20">
        <v>2.2999999999999998</v>
      </c>
      <c r="H53" s="20">
        <f t="shared" si="25"/>
        <v>2.2999999999999998</v>
      </c>
      <c r="I53" s="21">
        <v>0.20811965811965813</v>
      </c>
      <c r="J53" s="20">
        <f t="shared" si="26"/>
        <v>15</v>
      </c>
      <c r="K53" s="21">
        <f t="shared" si="27"/>
        <v>13.375</v>
      </c>
      <c r="L53" s="22">
        <f t="shared" si="28"/>
        <v>3.21</v>
      </c>
      <c r="M53" s="21">
        <f t="shared" si="29"/>
        <v>19.078642801228774</v>
      </c>
      <c r="N53" s="21">
        <f t="shared" si="30"/>
        <v>5.7036428012287743</v>
      </c>
      <c r="O53" s="21">
        <f t="shared" si="31"/>
        <v>42.644058326944105</v>
      </c>
      <c r="P53" s="21">
        <f t="shared" si="32"/>
        <v>1.2055364859872877E-2</v>
      </c>
      <c r="Q53" s="21">
        <f t="shared" si="33"/>
        <v>1.4264405832694411</v>
      </c>
      <c r="R53" s="21">
        <f t="shared" si="34"/>
        <v>13.375</v>
      </c>
      <c r="S53" s="21">
        <f t="shared" si="24"/>
        <v>8.3333333333333339</v>
      </c>
    </row>
    <row r="54" spans="1:19">
      <c r="A54" s="17">
        <f t="shared" si="35"/>
        <v>44</v>
      </c>
      <c r="B54" s="28" t="s">
        <v>110</v>
      </c>
      <c r="C54" s="23">
        <v>20</v>
      </c>
      <c r="D54" s="20" t="s">
        <v>11</v>
      </c>
      <c r="E54" s="13">
        <v>1</v>
      </c>
      <c r="F54" s="20">
        <v>9.5</v>
      </c>
      <c r="G54" s="20">
        <v>2.2999999999999998</v>
      </c>
      <c r="H54" s="20">
        <f t="shared" si="25"/>
        <v>2.2999999999999998</v>
      </c>
      <c r="I54" s="21">
        <v>0.20811965811965813</v>
      </c>
      <c r="J54" s="20">
        <f t="shared" si="26"/>
        <v>15</v>
      </c>
      <c r="K54" s="21">
        <f t="shared" si="27"/>
        <v>13.375</v>
      </c>
      <c r="L54" s="22">
        <f t="shared" si="28"/>
        <v>3.21</v>
      </c>
      <c r="M54" s="21">
        <f t="shared" si="29"/>
        <v>19.078642801228774</v>
      </c>
      <c r="N54" s="21">
        <f t="shared" si="30"/>
        <v>5.7036428012287743</v>
      </c>
      <c r="O54" s="21">
        <f t="shared" si="31"/>
        <v>42.644058326944105</v>
      </c>
      <c r="P54" s="21">
        <f t="shared" si="32"/>
        <v>1.2055364859872877E-2</v>
      </c>
      <c r="Q54" s="21">
        <f t="shared" si="33"/>
        <v>1.4264405832694411</v>
      </c>
      <c r="R54" s="21">
        <f t="shared" si="34"/>
        <v>13.375</v>
      </c>
      <c r="S54" s="21">
        <f t="shared" si="24"/>
        <v>8.3333333333333339</v>
      </c>
    </row>
    <row r="55" spans="1:19">
      <c r="A55" s="17">
        <f t="shared" si="35"/>
        <v>45</v>
      </c>
      <c r="B55" s="17" t="s">
        <v>103</v>
      </c>
      <c r="C55" s="19" t="s">
        <v>30</v>
      </c>
      <c r="D55" s="13" t="s">
        <v>11</v>
      </c>
      <c r="E55" s="13">
        <v>1</v>
      </c>
      <c r="F55" s="20">
        <v>5.8</v>
      </c>
      <c r="G55" s="13">
        <v>2</v>
      </c>
      <c r="H55" s="20">
        <f t="shared" si="25"/>
        <v>2</v>
      </c>
      <c r="I55" s="21">
        <v>0.20811965811965813</v>
      </c>
      <c r="J55" s="20">
        <f t="shared" si="26"/>
        <v>20</v>
      </c>
      <c r="K55" s="21">
        <f t="shared" si="27"/>
        <v>10.966666666666667</v>
      </c>
      <c r="L55" s="22">
        <f t="shared" si="28"/>
        <v>1.9740000000000002</v>
      </c>
      <c r="M55" s="21">
        <f t="shared" si="29"/>
        <v>19.452059681151272</v>
      </c>
      <c r="N55" s="21">
        <f t="shared" si="30"/>
        <v>8.4853930144846057</v>
      </c>
      <c r="O55" s="21">
        <f t="shared" si="31"/>
        <v>77.374404387397618</v>
      </c>
      <c r="P55" s="21">
        <f t="shared" si="32"/>
        <v>1.0281687557940034E-2</v>
      </c>
      <c r="Q55" s="21">
        <f t="shared" si="33"/>
        <v>1.7737440438739762</v>
      </c>
      <c r="R55" s="21">
        <f t="shared" si="34"/>
        <v>10.966666666666667</v>
      </c>
      <c r="S55" s="21">
        <f t="shared" si="24"/>
        <v>11.111111111111111</v>
      </c>
    </row>
    <row r="56" spans="1:19">
      <c r="A56" s="17">
        <f t="shared" si="35"/>
        <v>46</v>
      </c>
      <c r="B56" s="17" t="s">
        <v>31</v>
      </c>
      <c r="C56" s="19">
        <v>10</v>
      </c>
      <c r="D56" s="13" t="s">
        <v>27</v>
      </c>
      <c r="E56" s="13">
        <v>1</v>
      </c>
      <c r="F56" s="20">
        <v>13</v>
      </c>
      <c r="G56" s="13">
        <v>6</v>
      </c>
      <c r="H56" s="20">
        <f t="shared" si="25"/>
        <v>6</v>
      </c>
      <c r="I56" s="21">
        <v>0.84914529914529913</v>
      </c>
      <c r="J56" s="20">
        <f t="shared" si="26"/>
        <v>30</v>
      </c>
      <c r="K56" s="21">
        <f t="shared" si="27"/>
        <v>20.75</v>
      </c>
      <c r="L56" s="22">
        <f t="shared" si="28"/>
        <v>2.4900000000000002</v>
      </c>
      <c r="M56" s="21">
        <f t="shared" si="29"/>
        <v>32.848351843367055</v>
      </c>
      <c r="N56" s="21">
        <f t="shared" si="30"/>
        <v>12.098351843367055</v>
      </c>
      <c r="O56" s="21">
        <f t="shared" si="31"/>
        <v>58.305310088515924</v>
      </c>
      <c r="P56" s="21">
        <f t="shared" si="32"/>
        <v>1.8265756615766276E-2</v>
      </c>
      <c r="Q56" s="21">
        <f t="shared" si="33"/>
        <v>1.5830531008851594</v>
      </c>
      <c r="R56" s="21">
        <f t="shared" si="34"/>
        <v>20.75</v>
      </c>
      <c r="S56" s="21">
        <f t="shared" si="24"/>
        <v>16.666666666666668</v>
      </c>
    </row>
    <row r="57" spans="1:19">
      <c r="A57" s="17">
        <f t="shared" si="35"/>
        <v>47</v>
      </c>
      <c r="B57" s="17" t="s">
        <v>32</v>
      </c>
      <c r="C57" s="19" t="s">
        <v>33</v>
      </c>
      <c r="D57" s="13" t="s">
        <v>21</v>
      </c>
      <c r="E57" s="13">
        <v>1</v>
      </c>
      <c r="F57" s="20">
        <v>8.5</v>
      </c>
      <c r="G57" s="13">
        <v>4</v>
      </c>
      <c r="H57" s="20">
        <f t="shared" si="25"/>
        <v>4</v>
      </c>
      <c r="I57" s="21">
        <v>0.45769230769230773</v>
      </c>
      <c r="J57" s="20">
        <f t="shared" si="26"/>
        <v>30</v>
      </c>
      <c r="K57" s="21">
        <f t="shared" si="27"/>
        <v>16.25</v>
      </c>
      <c r="L57" s="22">
        <f t="shared" si="28"/>
        <v>1.95</v>
      </c>
      <c r="M57" s="21">
        <f t="shared" si="29"/>
        <v>29.010576030587565</v>
      </c>
      <c r="N57" s="21">
        <f t="shared" si="30"/>
        <v>12.760576030587565</v>
      </c>
      <c r="O57" s="21">
        <f t="shared" si="31"/>
        <v>78.526621726692696</v>
      </c>
      <c r="P57" s="21">
        <f t="shared" si="32"/>
        <v>1.378807506539189E-2</v>
      </c>
      <c r="Q57" s="21">
        <f t="shared" si="33"/>
        <v>1.7852662172669271</v>
      </c>
      <c r="R57" s="21">
        <f t="shared" si="34"/>
        <v>16.25</v>
      </c>
      <c r="S57" s="21">
        <f t="shared" si="24"/>
        <v>16.666666666666668</v>
      </c>
    </row>
    <row r="58" spans="1:19">
      <c r="A58" s="17">
        <f t="shared" si="35"/>
        <v>48</v>
      </c>
      <c r="B58" s="17" t="s">
        <v>34</v>
      </c>
      <c r="C58" s="19" t="s">
        <v>33</v>
      </c>
      <c r="D58" s="13" t="s">
        <v>21</v>
      </c>
      <c r="E58" s="13">
        <v>1</v>
      </c>
      <c r="F58" s="20">
        <v>8.5</v>
      </c>
      <c r="G58" s="13">
        <v>4</v>
      </c>
      <c r="H58" s="20">
        <f t="shared" si="25"/>
        <v>4</v>
      </c>
      <c r="I58" s="21">
        <v>0.45769230769230773</v>
      </c>
      <c r="J58" s="20">
        <f t="shared" si="26"/>
        <v>30</v>
      </c>
      <c r="K58" s="21">
        <f t="shared" si="27"/>
        <v>16.25</v>
      </c>
      <c r="L58" s="22">
        <f t="shared" si="28"/>
        <v>1.95</v>
      </c>
      <c r="M58" s="21">
        <f t="shared" si="29"/>
        <v>29.010576030587565</v>
      </c>
      <c r="N58" s="21">
        <f t="shared" si="30"/>
        <v>12.760576030587565</v>
      </c>
      <c r="O58" s="21">
        <f t="shared" si="31"/>
        <v>78.526621726692696</v>
      </c>
      <c r="P58" s="21">
        <f t="shared" si="32"/>
        <v>1.378807506539189E-2</v>
      </c>
      <c r="Q58" s="21">
        <f t="shared" si="33"/>
        <v>1.7852662172669271</v>
      </c>
      <c r="R58" s="21">
        <f t="shared" si="34"/>
        <v>16.25</v>
      </c>
      <c r="S58" s="21">
        <f t="shared" si="24"/>
        <v>16.666666666666668</v>
      </c>
    </row>
    <row r="59" spans="1:19">
      <c r="A59" s="17">
        <f t="shared" si="35"/>
        <v>49</v>
      </c>
      <c r="B59" s="17" t="s">
        <v>35</v>
      </c>
      <c r="C59" s="19" t="s">
        <v>33</v>
      </c>
      <c r="D59" s="13" t="s">
        <v>11</v>
      </c>
      <c r="E59" s="13">
        <v>1</v>
      </c>
      <c r="F59" s="20">
        <v>11.5</v>
      </c>
      <c r="G59" s="13">
        <v>1.8</v>
      </c>
      <c r="H59" s="20">
        <f t="shared" si="25"/>
        <v>1.8</v>
      </c>
      <c r="I59" s="21">
        <v>0.20811965811965813</v>
      </c>
      <c r="J59" s="20">
        <f t="shared" si="26"/>
        <v>30</v>
      </c>
      <c r="K59" s="21">
        <f t="shared" si="27"/>
        <v>19.25</v>
      </c>
      <c r="L59" s="22">
        <f t="shared" si="28"/>
        <v>2.31</v>
      </c>
      <c r="M59" s="21">
        <f t="shared" si="29"/>
        <v>31.553766167051926</v>
      </c>
      <c r="N59" s="21">
        <f t="shared" si="30"/>
        <v>12.303766167051926</v>
      </c>
      <c r="O59" s="21">
        <f t="shared" si="31"/>
        <v>63.915668400269745</v>
      </c>
      <c r="P59" s="21">
        <f t="shared" si="32"/>
        <v>5.7045488341088716E-3</v>
      </c>
      <c r="Q59" s="21">
        <f t="shared" si="33"/>
        <v>1.6391566840026974</v>
      </c>
      <c r="R59" s="21">
        <f t="shared" si="34"/>
        <v>19.25</v>
      </c>
      <c r="S59" s="21">
        <f t="shared" si="24"/>
        <v>16.666666666666668</v>
      </c>
    </row>
    <row r="60" spans="1:19">
      <c r="A60" s="17">
        <f t="shared" si="35"/>
        <v>50</v>
      </c>
      <c r="B60" s="17" t="s">
        <v>36</v>
      </c>
      <c r="C60" s="19" t="s">
        <v>33</v>
      </c>
      <c r="D60" s="13" t="s">
        <v>11</v>
      </c>
      <c r="E60" s="13">
        <v>1</v>
      </c>
      <c r="F60" s="20">
        <v>8.5</v>
      </c>
      <c r="G60" s="13">
        <v>1.8</v>
      </c>
      <c r="H60" s="20">
        <f t="shared" si="25"/>
        <v>1.8</v>
      </c>
      <c r="I60" s="21">
        <v>0.20811965811965813</v>
      </c>
      <c r="J60" s="20">
        <f t="shared" si="26"/>
        <v>30</v>
      </c>
      <c r="K60" s="21">
        <f t="shared" si="27"/>
        <v>16.25</v>
      </c>
      <c r="L60" s="22">
        <f t="shared" si="28"/>
        <v>1.95</v>
      </c>
      <c r="M60" s="21">
        <f t="shared" si="29"/>
        <v>29.010576030587565</v>
      </c>
      <c r="N60" s="21">
        <f t="shared" si="30"/>
        <v>12.760576030587565</v>
      </c>
      <c r="O60" s="21">
        <f t="shared" si="31"/>
        <v>78.526621726692696</v>
      </c>
      <c r="P60" s="21">
        <f t="shared" si="32"/>
        <v>6.2046337794263509E-3</v>
      </c>
      <c r="Q60" s="21">
        <f t="shared" si="33"/>
        <v>1.7852662172669271</v>
      </c>
      <c r="R60" s="21">
        <f t="shared" si="34"/>
        <v>16.25</v>
      </c>
      <c r="S60" s="21">
        <f t="shared" si="24"/>
        <v>16.666666666666668</v>
      </c>
    </row>
    <row r="61" spans="1:19">
      <c r="A61" s="17">
        <f t="shared" si="35"/>
        <v>51</v>
      </c>
      <c r="B61" s="17" t="s">
        <v>37</v>
      </c>
      <c r="C61" s="19" t="s">
        <v>33</v>
      </c>
      <c r="D61" s="13" t="s">
        <v>21</v>
      </c>
      <c r="E61" s="13">
        <v>1</v>
      </c>
      <c r="F61" s="20">
        <v>12.8</v>
      </c>
      <c r="G61" s="13">
        <v>4.3</v>
      </c>
      <c r="H61" s="20">
        <f t="shared" si="25"/>
        <v>4.3</v>
      </c>
      <c r="I61" s="21">
        <v>0.45769230769230773</v>
      </c>
      <c r="J61" s="20">
        <f t="shared" si="26"/>
        <v>30</v>
      </c>
      <c r="K61" s="21">
        <f t="shared" si="27"/>
        <v>20.55</v>
      </c>
      <c r="L61" s="22">
        <f t="shared" si="28"/>
        <v>2.4660000000000002</v>
      </c>
      <c r="M61" s="21">
        <f t="shared" si="29"/>
        <v>32.674911247133373</v>
      </c>
      <c r="N61" s="21">
        <f t="shared" si="30"/>
        <v>12.124911247133372</v>
      </c>
      <c r="O61" s="21">
        <f t="shared" si="31"/>
        <v>59.002001202595487</v>
      </c>
      <c r="P61" s="21">
        <f t="shared" si="32"/>
        <v>1.3159943932142268E-2</v>
      </c>
      <c r="Q61" s="21">
        <f t="shared" si="33"/>
        <v>1.5900200120259549</v>
      </c>
      <c r="R61" s="21">
        <f t="shared" si="34"/>
        <v>20.55</v>
      </c>
      <c r="S61" s="21">
        <f t="shared" si="24"/>
        <v>16.666666666666668</v>
      </c>
    </row>
    <row r="62" spans="1:19">
      <c r="A62" s="17">
        <f t="shared" si="35"/>
        <v>52</v>
      </c>
      <c r="B62" s="17" t="s">
        <v>104</v>
      </c>
      <c r="C62" s="19">
        <v>10</v>
      </c>
      <c r="D62" s="13" t="s">
        <v>9</v>
      </c>
      <c r="E62" s="13">
        <v>1</v>
      </c>
      <c r="F62" s="20">
        <v>8.5</v>
      </c>
      <c r="G62" s="13">
        <v>1.5</v>
      </c>
      <c r="H62" s="20">
        <f t="shared" si="25"/>
        <v>1.5</v>
      </c>
      <c r="I62" s="21">
        <v>8.8333333333333305E-2</v>
      </c>
      <c r="J62" s="20">
        <f t="shared" si="26"/>
        <v>30</v>
      </c>
      <c r="K62" s="21">
        <f t="shared" si="27"/>
        <v>16.25</v>
      </c>
      <c r="L62" s="22">
        <f t="shared" si="28"/>
        <v>1.95</v>
      </c>
      <c r="M62" s="21">
        <f t="shared" si="29"/>
        <v>29.010576030587565</v>
      </c>
      <c r="N62" s="21">
        <f t="shared" si="30"/>
        <v>12.760576030587565</v>
      </c>
      <c r="O62" s="21">
        <f t="shared" si="31"/>
        <v>78.526621726692696</v>
      </c>
      <c r="P62" s="21">
        <f t="shared" si="32"/>
        <v>5.1705281495219588E-3</v>
      </c>
      <c r="Q62" s="21">
        <f t="shared" si="33"/>
        <v>1.7852662172669271</v>
      </c>
      <c r="R62" s="21">
        <f t="shared" si="34"/>
        <v>16.25</v>
      </c>
      <c r="S62" s="21">
        <f t="shared" si="24"/>
        <v>16.666666666666668</v>
      </c>
    </row>
    <row r="63" spans="1:19">
      <c r="A63" s="17">
        <f t="shared" si="35"/>
        <v>53</v>
      </c>
      <c r="B63" s="17" t="s">
        <v>38</v>
      </c>
      <c r="C63" s="19" t="s">
        <v>39</v>
      </c>
      <c r="D63" s="13" t="s">
        <v>11</v>
      </c>
      <c r="E63" s="13">
        <v>1</v>
      </c>
      <c r="F63" s="20">
        <v>7.55</v>
      </c>
      <c r="G63" s="13">
        <v>2.2999999999999998</v>
      </c>
      <c r="H63" s="20">
        <f t="shared" si="25"/>
        <v>2.2999999999999998</v>
      </c>
      <c r="I63" s="21">
        <v>0.20811965811965813</v>
      </c>
      <c r="J63" s="20">
        <f t="shared" si="26"/>
        <v>37.5</v>
      </c>
      <c r="K63" s="21">
        <f t="shared" si="27"/>
        <v>17.237500000000001</v>
      </c>
      <c r="L63" s="22">
        <f t="shared" si="28"/>
        <v>1.6548000000000003</v>
      </c>
      <c r="M63" s="21">
        <f t="shared" si="29"/>
        <v>33.719817984889488</v>
      </c>
      <c r="N63" s="21">
        <f t="shared" si="30"/>
        <v>16.482317984889487</v>
      </c>
      <c r="O63" s="21">
        <f t="shared" si="31"/>
        <v>95.618958578039084</v>
      </c>
      <c r="P63" s="21">
        <f t="shared" si="32"/>
        <v>6.820914635513973E-3</v>
      </c>
      <c r="Q63" s="21">
        <f t="shared" si="33"/>
        <v>1.9561895857803908</v>
      </c>
      <c r="R63" s="21">
        <f t="shared" si="34"/>
        <v>17.237500000000001</v>
      </c>
      <c r="S63" s="21">
        <f t="shared" si="24"/>
        <v>20.833333333333332</v>
      </c>
    </row>
    <row r="64" spans="1:19">
      <c r="A64" s="17">
        <f t="shared" si="35"/>
        <v>54</v>
      </c>
      <c r="B64" s="17" t="s">
        <v>40</v>
      </c>
      <c r="C64" s="19">
        <v>7</v>
      </c>
      <c r="D64" s="13" t="s">
        <v>27</v>
      </c>
      <c r="E64" s="13">
        <v>1</v>
      </c>
      <c r="F64" s="20">
        <v>22.857142857142854</v>
      </c>
      <c r="G64" s="13">
        <v>7</v>
      </c>
      <c r="H64" s="20">
        <f t="shared" si="25"/>
        <v>7</v>
      </c>
      <c r="I64" s="21">
        <v>0.84914529914529913</v>
      </c>
      <c r="J64" s="20">
        <f t="shared" si="26"/>
        <v>42.857142857142861</v>
      </c>
      <c r="K64" s="21">
        <f t="shared" si="27"/>
        <v>33.928571428571431</v>
      </c>
      <c r="L64" s="22">
        <f t="shared" si="28"/>
        <v>2.85</v>
      </c>
      <c r="M64" s="21">
        <f t="shared" si="29"/>
        <v>50.683605320107361</v>
      </c>
      <c r="N64" s="21">
        <f t="shared" si="30"/>
        <v>16.75503389153593</v>
      </c>
      <c r="O64" s="21">
        <f t="shared" si="31"/>
        <v>49.38325778557958</v>
      </c>
      <c r="P64" s="21">
        <f t="shared" si="32"/>
        <v>1.3811172184357096E-2</v>
      </c>
      <c r="Q64" s="21">
        <f t="shared" si="33"/>
        <v>1.4938325778557957</v>
      </c>
      <c r="R64" s="21">
        <f t="shared" si="34"/>
        <v>33.928571428571431</v>
      </c>
      <c r="S64" s="21">
        <f t="shared" si="24"/>
        <v>23.80952380952381</v>
      </c>
    </row>
    <row r="65" spans="1:19">
      <c r="A65" s="17">
        <f t="shared" si="35"/>
        <v>55</v>
      </c>
      <c r="B65" s="17" t="s">
        <v>41</v>
      </c>
      <c r="C65" s="19" t="s">
        <v>13</v>
      </c>
      <c r="D65" s="13" t="s">
        <v>27</v>
      </c>
      <c r="E65" s="13">
        <v>1</v>
      </c>
      <c r="F65" s="20">
        <v>35</v>
      </c>
      <c r="G65" s="13">
        <v>8</v>
      </c>
      <c r="H65" s="20">
        <f t="shared" si="25"/>
        <v>8</v>
      </c>
      <c r="I65" s="21">
        <v>0.84914529914529913</v>
      </c>
      <c r="J65" s="20">
        <f t="shared" si="26"/>
        <v>150</v>
      </c>
      <c r="K65" s="21">
        <f t="shared" si="27"/>
        <v>73.75</v>
      </c>
      <c r="L65" s="22">
        <f t="shared" si="28"/>
        <v>1.77</v>
      </c>
      <c r="M65" s="21">
        <f t="shared" si="29"/>
        <v>138.82050459918165</v>
      </c>
      <c r="N65" s="21">
        <f t="shared" si="30"/>
        <v>65.070504599181646</v>
      </c>
      <c r="O65" s="21">
        <f t="shared" si="31"/>
        <v>88.23119267685648</v>
      </c>
      <c r="P65" s="21">
        <f t="shared" si="32"/>
        <v>5.7628374303194691E-3</v>
      </c>
      <c r="Q65" s="21">
        <f t="shared" si="33"/>
        <v>1.8823119267685646</v>
      </c>
      <c r="R65" s="21">
        <f t="shared" si="34"/>
        <v>73.75</v>
      </c>
      <c r="S65" s="21">
        <f t="shared" si="24"/>
        <v>83.333333333333329</v>
      </c>
    </row>
    <row r="66" spans="1:19">
      <c r="A66" s="17"/>
      <c r="B66" s="17"/>
      <c r="C66" s="19"/>
      <c r="E66" s="13">
        <v>1</v>
      </c>
      <c r="F66" s="20"/>
      <c r="H66" s="20"/>
      <c r="I66" s="21"/>
      <c r="J66" s="21">
        <v>20000</v>
      </c>
      <c r="K66" s="21"/>
      <c r="L66" s="21"/>
      <c r="M66" s="21"/>
      <c r="N66" s="21"/>
      <c r="O66" s="21"/>
      <c r="P66" s="21"/>
      <c r="Q66" s="21"/>
      <c r="R66" s="21"/>
      <c r="S66" s="21">
        <f t="shared" si="24"/>
        <v>11111.111111111111</v>
      </c>
    </row>
    <row r="67" spans="1:19" ht="30.75" thickBot="1">
      <c r="A67" s="15"/>
      <c r="B67" s="15" t="s">
        <v>3</v>
      </c>
      <c r="C67" s="14" t="s">
        <v>4</v>
      </c>
      <c r="D67" s="14" t="s">
        <v>5</v>
      </c>
      <c r="E67" s="14" t="s">
        <v>6</v>
      </c>
      <c r="F67" s="14" t="s">
        <v>64</v>
      </c>
      <c r="G67" s="14" t="s">
        <v>7</v>
      </c>
      <c r="H67" s="14" t="s">
        <v>65</v>
      </c>
      <c r="I67" s="32" t="s">
        <v>171</v>
      </c>
      <c r="J67" s="14" t="s">
        <v>66</v>
      </c>
      <c r="K67" s="14" t="s">
        <v>125</v>
      </c>
      <c r="L67" s="14" t="s">
        <v>67</v>
      </c>
      <c r="M67" s="14" t="s">
        <v>68</v>
      </c>
      <c r="N67" s="14" t="s">
        <v>172</v>
      </c>
      <c r="O67" s="14" t="s">
        <v>69</v>
      </c>
      <c r="P67" s="14" t="s">
        <v>70</v>
      </c>
      <c r="Q67" s="14" t="s">
        <v>71</v>
      </c>
      <c r="R67" s="14" t="s">
        <v>124</v>
      </c>
      <c r="S67" s="14" t="s">
        <v>8</v>
      </c>
    </row>
    <row r="68" spans="1:19" ht="16.5" thickTop="1">
      <c r="A68" s="17"/>
      <c r="B68" s="17"/>
      <c r="E68" s="13">
        <v>2</v>
      </c>
      <c r="J68" s="13">
        <v>1</v>
      </c>
      <c r="M68" s="21"/>
      <c r="N68" s="21"/>
      <c r="O68" s="21"/>
      <c r="P68" s="21"/>
      <c r="Q68" s="21"/>
      <c r="R68" s="21"/>
      <c r="S68" s="21">
        <f t="shared" ref="S68:S86" si="36">2*J68/3.6/E68</f>
        <v>0.27777777777777779</v>
      </c>
    </row>
    <row r="69" spans="1:19">
      <c r="A69" s="17">
        <f>A65+1</f>
        <v>56</v>
      </c>
      <c r="B69" s="17" t="s">
        <v>111</v>
      </c>
      <c r="C69" s="19">
        <v>150</v>
      </c>
      <c r="D69" s="13" t="s">
        <v>9</v>
      </c>
      <c r="E69" s="13">
        <v>2</v>
      </c>
      <c r="F69" s="20">
        <v>2.7</v>
      </c>
      <c r="G69" s="13">
        <v>1.5</v>
      </c>
      <c r="H69" s="20">
        <f t="shared" ref="H69:H85" si="37">E69*G69</f>
        <v>3</v>
      </c>
      <c r="I69" s="20">
        <v>7.6068376068376062E-2</v>
      </c>
      <c r="J69" s="20">
        <f t="shared" ref="J69:J85" si="38">100/C69*3</f>
        <v>2</v>
      </c>
      <c r="K69" s="21">
        <f t="shared" ref="K69:K85" si="39">F69+$I$2*J69/3.6</f>
        <v>3.2166666666666668</v>
      </c>
      <c r="L69" s="22">
        <f t="shared" ref="L69:L85" si="40">K69*3.6/J69</f>
        <v>5.79</v>
      </c>
      <c r="M69" s="21">
        <f t="shared" ref="M69:M85" si="41">K69/(1+(EXP(-L69*E69)-1)/L69/E69)</f>
        <v>3.5206963210842113</v>
      </c>
      <c r="N69" s="21">
        <f t="shared" ref="N69:N85" si="42">M69-K69</f>
        <v>0.30402965441754448</v>
      </c>
      <c r="O69" s="21">
        <f t="shared" ref="O69:O85" si="43">N69/K69*100</f>
        <v>9.4516991010635589</v>
      </c>
      <c r="P69" s="21">
        <f t="shared" ref="P69:P85" si="44">$F$2*H69/M69</f>
        <v>8.5210416531356484E-2</v>
      </c>
      <c r="Q69" s="21">
        <f t="shared" ref="Q69:Q85" si="45">M69/K69</f>
        <v>1.0945169910106356</v>
      </c>
      <c r="R69" s="21">
        <f t="shared" ref="R69:R85" si="46">K69</f>
        <v>3.2166666666666668</v>
      </c>
      <c r="S69" s="21">
        <f t="shared" si="36"/>
        <v>0.55555555555555558</v>
      </c>
    </row>
    <row r="70" spans="1:19">
      <c r="A70" s="17">
        <f t="shared" ref="A70:A85" si="47">A69+1</f>
        <v>57</v>
      </c>
      <c r="B70" s="17" t="s">
        <v>42</v>
      </c>
      <c r="C70" s="19">
        <v>150</v>
      </c>
      <c r="D70" s="13" t="s">
        <v>21</v>
      </c>
      <c r="E70" s="13">
        <v>2</v>
      </c>
      <c r="F70" s="20">
        <v>4</v>
      </c>
      <c r="G70" s="13">
        <v>3.3</v>
      </c>
      <c r="H70" s="20">
        <f t="shared" si="37"/>
        <v>6.6</v>
      </c>
      <c r="I70" s="20">
        <v>0.45769230769230773</v>
      </c>
      <c r="J70" s="20">
        <f t="shared" si="38"/>
        <v>2</v>
      </c>
      <c r="K70" s="21">
        <f t="shared" si="39"/>
        <v>4.5166666666666666</v>
      </c>
      <c r="L70" s="22">
        <f t="shared" si="40"/>
        <v>8.1300000000000008</v>
      </c>
      <c r="M70" s="21">
        <f t="shared" si="41"/>
        <v>4.8126474169334559</v>
      </c>
      <c r="N70" s="21">
        <f t="shared" si="42"/>
        <v>0.29598075026678927</v>
      </c>
      <c r="O70" s="21">
        <f t="shared" si="43"/>
        <v>6.5530793417001316</v>
      </c>
      <c r="P70" s="21">
        <f t="shared" si="44"/>
        <v>0.13713865629918548</v>
      </c>
      <c r="Q70" s="21">
        <f t="shared" si="45"/>
        <v>1.0655307934170013</v>
      </c>
      <c r="R70" s="21">
        <f t="shared" si="46"/>
        <v>4.5166666666666666</v>
      </c>
      <c r="S70" s="21">
        <f t="shared" si="36"/>
        <v>0.55555555555555558</v>
      </c>
    </row>
    <row r="71" spans="1:19">
      <c r="A71" s="17">
        <f t="shared" si="47"/>
        <v>58</v>
      </c>
      <c r="B71" s="17" t="s">
        <v>112</v>
      </c>
      <c r="C71" s="19">
        <v>120</v>
      </c>
      <c r="D71" s="13" t="s">
        <v>9</v>
      </c>
      <c r="E71" s="13">
        <v>2</v>
      </c>
      <c r="F71" s="20">
        <v>2.75</v>
      </c>
      <c r="G71" s="13">
        <v>1.3</v>
      </c>
      <c r="H71" s="20">
        <f t="shared" si="37"/>
        <v>2.6</v>
      </c>
      <c r="I71" s="20">
        <v>7.6068376068376062E-2</v>
      </c>
      <c r="J71" s="20">
        <f t="shared" si="38"/>
        <v>2.5</v>
      </c>
      <c r="K71" s="21">
        <f t="shared" si="39"/>
        <v>3.3958333333333335</v>
      </c>
      <c r="L71" s="22">
        <f t="shared" si="40"/>
        <v>4.8900000000000006</v>
      </c>
      <c r="M71" s="21">
        <f t="shared" si="41"/>
        <v>3.7825781335719015</v>
      </c>
      <c r="N71" s="21">
        <f t="shared" si="42"/>
        <v>0.38674480023856805</v>
      </c>
      <c r="O71" s="21">
        <f t="shared" si="43"/>
        <v>11.388803933405685</v>
      </c>
      <c r="P71" s="21">
        <f t="shared" si="44"/>
        <v>6.8736187546899696E-2</v>
      </c>
      <c r="Q71" s="21">
        <f t="shared" si="45"/>
        <v>1.1138880393340569</v>
      </c>
      <c r="R71" s="21">
        <f t="shared" si="46"/>
        <v>3.3958333333333335</v>
      </c>
      <c r="S71" s="21">
        <f t="shared" si="36"/>
        <v>0.69444444444444442</v>
      </c>
    </row>
    <row r="72" spans="1:19">
      <c r="A72" s="17">
        <f t="shared" si="47"/>
        <v>59</v>
      </c>
      <c r="B72" s="17" t="s">
        <v>43</v>
      </c>
      <c r="C72" s="19" t="s">
        <v>44</v>
      </c>
      <c r="D72" s="13" t="s">
        <v>9</v>
      </c>
      <c r="E72" s="13">
        <v>2</v>
      </c>
      <c r="F72" s="20">
        <v>2.75</v>
      </c>
      <c r="G72" s="13">
        <v>1.5</v>
      </c>
      <c r="H72" s="20">
        <f t="shared" si="37"/>
        <v>3</v>
      </c>
      <c r="I72" s="20">
        <v>7.6068376068376062E-2</v>
      </c>
      <c r="J72" s="20">
        <f t="shared" si="38"/>
        <v>2.5</v>
      </c>
      <c r="K72" s="21">
        <f t="shared" si="39"/>
        <v>3.3958333333333335</v>
      </c>
      <c r="L72" s="22">
        <f t="shared" si="40"/>
        <v>4.8900000000000006</v>
      </c>
      <c r="M72" s="21">
        <f t="shared" si="41"/>
        <v>3.7825781335719015</v>
      </c>
      <c r="N72" s="21">
        <f t="shared" si="42"/>
        <v>0.38674480023856805</v>
      </c>
      <c r="O72" s="21">
        <f t="shared" si="43"/>
        <v>11.388803933405685</v>
      </c>
      <c r="P72" s="21">
        <f t="shared" si="44"/>
        <v>7.9310985631038111E-2</v>
      </c>
      <c r="Q72" s="21">
        <f t="shared" si="45"/>
        <v>1.1138880393340569</v>
      </c>
      <c r="R72" s="21">
        <f t="shared" si="46"/>
        <v>3.3958333333333335</v>
      </c>
      <c r="S72" s="21">
        <f t="shared" si="36"/>
        <v>0.69444444444444442</v>
      </c>
    </row>
    <row r="73" spans="1:19">
      <c r="A73" s="17">
        <f t="shared" si="47"/>
        <v>60</v>
      </c>
      <c r="B73" s="17" t="s">
        <v>45</v>
      </c>
      <c r="C73" s="19">
        <v>100</v>
      </c>
      <c r="D73" s="13" t="s">
        <v>27</v>
      </c>
      <c r="E73" s="13">
        <v>2</v>
      </c>
      <c r="F73" s="20">
        <v>10.3</v>
      </c>
      <c r="G73" s="13">
        <v>7.8</v>
      </c>
      <c r="H73" s="20">
        <f t="shared" si="37"/>
        <v>15.6</v>
      </c>
      <c r="I73" s="20">
        <v>0.84914529914529913</v>
      </c>
      <c r="J73" s="20">
        <f t="shared" si="38"/>
        <v>3</v>
      </c>
      <c r="K73" s="21">
        <f t="shared" si="39"/>
        <v>11.075000000000001</v>
      </c>
      <c r="L73" s="22">
        <f t="shared" si="40"/>
        <v>13.290000000000001</v>
      </c>
      <c r="M73" s="21">
        <f t="shared" si="41"/>
        <v>11.507955433931475</v>
      </c>
      <c r="N73" s="21">
        <f t="shared" si="42"/>
        <v>0.43295543393147362</v>
      </c>
      <c r="O73" s="21">
        <f t="shared" si="43"/>
        <v>3.9093041438507772</v>
      </c>
      <c r="P73" s="21">
        <f t="shared" si="44"/>
        <v>0.1355583977498126</v>
      </c>
      <c r="Q73" s="21">
        <f t="shared" si="45"/>
        <v>1.0390930414385078</v>
      </c>
      <c r="R73" s="21">
        <f t="shared" si="46"/>
        <v>11.075000000000001</v>
      </c>
      <c r="S73" s="21">
        <f t="shared" si="36"/>
        <v>0.83333333333333326</v>
      </c>
    </row>
    <row r="74" spans="1:19">
      <c r="A74" s="17">
        <f t="shared" si="47"/>
        <v>61</v>
      </c>
      <c r="B74" s="17" t="s">
        <v>113</v>
      </c>
      <c r="C74" s="19">
        <v>70</v>
      </c>
      <c r="D74" s="13" t="s">
        <v>9</v>
      </c>
      <c r="E74" s="13">
        <v>2</v>
      </c>
      <c r="F74" s="20">
        <v>2.9285714285714288</v>
      </c>
      <c r="G74" s="13">
        <v>1.5</v>
      </c>
      <c r="H74" s="20">
        <f t="shared" si="37"/>
        <v>3</v>
      </c>
      <c r="I74" s="20">
        <v>7.6068376068376062E-2</v>
      </c>
      <c r="J74" s="20">
        <f t="shared" si="38"/>
        <v>4.2857142857142856</v>
      </c>
      <c r="K74" s="21">
        <f t="shared" si="39"/>
        <v>4.0357142857142865</v>
      </c>
      <c r="L74" s="22">
        <f t="shared" si="40"/>
        <v>3.390000000000001</v>
      </c>
      <c r="M74" s="21">
        <f t="shared" si="41"/>
        <v>4.7330043015850052</v>
      </c>
      <c r="N74" s="21">
        <f t="shared" si="42"/>
        <v>0.6972900158707187</v>
      </c>
      <c r="O74" s="21">
        <f t="shared" si="43"/>
        <v>17.277982694141699</v>
      </c>
      <c r="P74" s="21">
        <f t="shared" si="44"/>
        <v>6.3384687797459843E-2</v>
      </c>
      <c r="Q74" s="21">
        <f t="shared" si="45"/>
        <v>1.1727798269414169</v>
      </c>
      <c r="R74" s="21">
        <f t="shared" si="46"/>
        <v>4.0357142857142865</v>
      </c>
      <c r="S74" s="21">
        <f t="shared" si="36"/>
        <v>1.1904761904761905</v>
      </c>
    </row>
    <row r="75" spans="1:19">
      <c r="A75" s="17">
        <f t="shared" si="47"/>
        <v>62</v>
      </c>
      <c r="B75" s="17" t="s">
        <v>46</v>
      </c>
      <c r="C75" s="19">
        <v>70</v>
      </c>
      <c r="D75" s="13" t="s">
        <v>21</v>
      </c>
      <c r="E75" s="13">
        <v>2</v>
      </c>
      <c r="F75" s="20">
        <v>5.4285714285714288</v>
      </c>
      <c r="G75" s="13">
        <v>3.3</v>
      </c>
      <c r="H75" s="20">
        <f t="shared" si="37"/>
        <v>6.6</v>
      </c>
      <c r="I75" s="20">
        <v>0.45769230769230773</v>
      </c>
      <c r="J75" s="20">
        <f t="shared" si="38"/>
        <v>4.2857142857142856</v>
      </c>
      <c r="K75" s="21">
        <f t="shared" si="39"/>
        <v>6.5357142857142865</v>
      </c>
      <c r="L75" s="22">
        <f t="shared" si="40"/>
        <v>5.4900000000000011</v>
      </c>
      <c r="M75" s="21">
        <f t="shared" si="41"/>
        <v>7.1905832000094634</v>
      </c>
      <c r="N75" s="21">
        <f t="shared" si="42"/>
        <v>0.65486891429517691</v>
      </c>
      <c r="O75" s="21">
        <f t="shared" si="43"/>
        <v>10.01985224058194</v>
      </c>
      <c r="P75" s="21">
        <f t="shared" si="44"/>
        <v>9.1786713489266272E-2</v>
      </c>
      <c r="Q75" s="21">
        <f t="shared" si="45"/>
        <v>1.1001985224058195</v>
      </c>
      <c r="R75" s="21">
        <f t="shared" si="46"/>
        <v>6.5357142857142865</v>
      </c>
      <c r="S75" s="21">
        <f t="shared" si="36"/>
        <v>1.1904761904761905</v>
      </c>
    </row>
    <row r="76" spans="1:19">
      <c r="A76" s="17">
        <f t="shared" si="47"/>
        <v>63</v>
      </c>
      <c r="B76" s="17" t="s">
        <v>47</v>
      </c>
      <c r="C76" s="19" t="s">
        <v>48</v>
      </c>
      <c r="D76" s="13" t="s">
        <v>9</v>
      </c>
      <c r="E76" s="13">
        <v>2</v>
      </c>
      <c r="F76" s="20">
        <v>3.1</v>
      </c>
      <c r="G76" s="13">
        <v>1.5</v>
      </c>
      <c r="H76" s="20">
        <f t="shared" si="37"/>
        <v>3</v>
      </c>
      <c r="I76" s="20">
        <v>7.6068376068376062E-2</v>
      </c>
      <c r="J76" s="20">
        <f t="shared" si="38"/>
        <v>6</v>
      </c>
      <c r="K76" s="21">
        <f t="shared" si="39"/>
        <v>4.6500000000000004</v>
      </c>
      <c r="L76" s="22">
        <f t="shared" si="40"/>
        <v>2.7900000000000005</v>
      </c>
      <c r="M76" s="21">
        <f t="shared" si="41"/>
        <v>5.6606211650170115</v>
      </c>
      <c r="N76" s="21">
        <f t="shared" si="42"/>
        <v>1.0106211650170112</v>
      </c>
      <c r="O76" s="21">
        <f t="shared" si="43"/>
        <v>21.733788494989486</v>
      </c>
      <c r="P76" s="21">
        <f t="shared" si="44"/>
        <v>5.2997717256547491E-2</v>
      </c>
      <c r="Q76" s="21">
        <f t="shared" si="45"/>
        <v>1.2173378849498948</v>
      </c>
      <c r="R76" s="21">
        <f t="shared" si="46"/>
        <v>4.6500000000000004</v>
      </c>
      <c r="S76" s="21">
        <f t="shared" si="36"/>
        <v>1.6666666666666665</v>
      </c>
    </row>
    <row r="77" spans="1:19">
      <c r="A77" s="17">
        <f t="shared" si="47"/>
        <v>64</v>
      </c>
      <c r="B77" s="17" t="s">
        <v>114</v>
      </c>
      <c r="C77" s="19">
        <v>40</v>
      </c>
      <c r="D77" s="13" t="s">
        <v>21</v>
      </c>
      <c r="E77" s="13">
        <v>2</v>
      </c>
      <c r="F77" s="20">
        <v>5.3</v>
      </c>
      <c r="G77" s="13">
        <v>3.3</v>
      </c>
      <c r="H77" s="20">
        <f t="shared" si="37"/>
        <v>6.6</v>
      </c>
      <c r="I77" s="20">
        <v>0.36388888888888882</v>
      </c>
      <c r="J77" s="20">
        <f t="shared" si="38"/>
        <v>7.5</v>
      </c>
      <c r="K77" s="21">
        <f t="shared" si="39"/>
        <v>7.2374999999999998</v>
      </c>
      <c r="L77" s="22">
        <f t="shared" si="40"/>
        <v>3.4739999999999998</v>
      </c>
      <c r="M77" s="21">
        <f t="shared" si="41"/>
        <v>8.4529304809884351</v>
      </c>
      <c r="N77" s="21">
        <f t="shared" si="42"/>
        <v>1.2154304809884353</v>
      </c>
      <c r="O77" s="21">
        <f t="shared" si="43"/>
        <v>16.793512690686498</v>
      </c>
      <c r="P77" s="21">
        <f t="shared" si="44"/>
        <v>7.8079430735223984E-2</v>
      </c>
      <c r="Q77" s="21">
        <f t="shared" si="45"/>
        <v>1.167935126906865</v>
      </c>
      <c r="R77" s="21">
        <f t="shared" si="46"/>
        <v>7.2374999999999998</v>
      </c>
      <c r="S77" s="21">
        <f t="shared" si="36"/>
        <v>2.0833333333333335</v>
      </c>
    </row>
    <row r="78" spans="1:19">
      <c r="A78" s="17">
        <f t="shared" si="47"/>
        <v>65</v>
      </c>
      <c r="B78" s="17" t="s">
        <v>115</v>
      </c>
      <c r="C78" s="19">
        <v>40</v>
      </c>
      <c r="D78" s="13" t="s">
        <v>11</v>
      </c>
      <c r="E78" s="13">
        <v>2</v>
      </c>
      <c r="F78" s="20">
        <v>4.55</v>
      </c>
      <c r="G78" s="13">
        <v>2</v>
      </c>
      <c r="H78" s="20">
        <f t="shared" si="37"/>
        <v>4</v>
      </c>
      <c r="I78" s="20">
        <v>0.20753968253968255</v>
      </c>
      <c r="J78" s="20">
        <f t="shared" si="38"/>
        <v>7.5</v>
      </c>
      <c r="K78" s="21">
        <f t="shared" si="39"/>
        <v>6.4874999999999998</v>
      </c>
      <c r="L78" s="22">
        <f t="shared" si="40"/>
        <v>3.1139999999999999</v>
      </c>
      <c r="M78" s="21">
        <f t="shared" si="41"/>
        <v>7.7254981909890681</v>
      </c>
      <c r="N78" s="21">
        <f t="shared" si="42"/>
        <v>1.2379981909890683</v>
      </c>
      <c r="O78" s="21">
        <f t="shared" si="43"/>
        <v>19.082823753203364</v>
      </c>
      <c r="P78" s="21">
        <f t="shared" si="44"/>
        <v>5.1776596163928351E-2</v>
      </c>
      <c r="Q78" s="21">
        <f t="shared" si="45"/>
        <v>1.1908282375320336</v>
      </c>
      <c r="R78" s="21">
        <f t="shared" si="46"/>
        <v>6.4874999999999998</v>
      </c>
      <c r="S78" s="21">
        <f t="shared" si="36"/>
        <v>2.0833333333333335</v>
      </c>
    </row>
    <row r="79" spans="1:19">
      <c r="A79" s="17">
        <f t="shared" si="47"/>
        <v>66</v>
      </c>
      <c r="B79" s="17" t="s">
        <v>116</v>
      </c>
      <c r="C79" s="19">
        <v>30</v>
      </c>
      <c r="D79" s="13" t="s">
        <v>9</v>
      </c>
      <c r="E79" s="13">
        <v>2</v>
      </c>
      <c r="F79" s="20">
        <v>3.5</v>
      </c>
      <c r="G79" s="13">
        <v>1.3</v>
      </c>
      <c r="H79" s="20">
        <f t="shared" si="37"/>
        <v>2.6</v>
      </c>
      <c r="I79" s="20">
        <v>7.6068376068376103E-2</v>
      </c>
      <c r="J79" s="20">
        <f t="shared" si="38"/>
        <v>10</v>
      </c>
      <c r="K79" s="21">
        <f t="shared" si="39"/>
        <v>6.0833333333333339</v>
      </c>
      <c r="L79" s="22">
        <f t="shared" si="40"/>
        <v>2.1900000000000004</v>
      </c>
      <c r="M79" s="21">
        <f t="shared" si="41"/>
        <v>7.8540311960498146</v>
      </c>
      <c r="N79" s="21">
        <f t="shared" si="42"/>
        <v>1.7706978627164807</v>
      </c>
      <c r="O79" s="21">
        <f t="shared" si="43"/>
        <v>29.107362126846255</v>
      </c>
      <c r="P79" s="21">
        <f t="shared" si="44"/>
        <v>3.3104019262206012E-2</v>
      </c>
      <c r="Q79" s="21">
        <f t="shared" si="45"/>
        <v>1.2910736212684626</v>
      </c>
      <c r="R79" s="21">
        <f t="shared" si="46"/>
        <v>6.0833333333333339</v>
      </c>
      <c r="S79" s="21">
        <f t="shared" si="36"/>
        <v>2.7777777777777777</v>
      </c>
    </row>
    <row r="80" spans="1:19">
      <c r="A80" s="17">
        <f t="shared" si="47"/>
        <v>67</v>
      </c>
      <c r="B80" s="17" t="s">
        <v>117</v>
      </c>
      <c r="C80" s="19">
        <v>25</v>
      </c>
      <c r="D80" s="13" t="s">
        <v>9</v>
      </c>
      <c r="E80" s="13">
        <v>2</v>
      </c>
      <c r="F80" s="20">
        <v>8.6</v>
      </c>
      <c r="G80" s="13">
        <v>1.3</v>
      </c>
      <c r="H80" s="20">
        <f t="shared" si="37"/>
        <v>2.6</v>
      </c>
      <c r="I80" s="20">
        <v>7.6068376068376103E-2</v>
      </c>
      <c r="J80" s="20">
        <f t="shared" si="38"/>
        <v>12</v>
      </c>
      <c r="K80" s="21">
        <f t="shared" si="39"/>
        <v>11.7</v>
      </c>
      <c r="L80" s="22">
        <f t="shared" si="40"/>
        <v>3.51</v>
      </c>
      <c r="M80" s="21">
        <f t="shared" si="41"/>
        <v>13.641496159962065</v>
      </c>
      <c r="N80" s="21">
        <f t="shared" si="42"/>
        <v>1.9414961599620657</v>
      </c>
      <c r="O80" s="21">
        <f t="shared" si="43"/>
        <v>16.593984273180048</v>
      </c>
      <c r="P80" s="21">
        <f t="shared" si="44"/>
        <v>1.9059492958191988E-2</v>
      </c>
      <c r="Q80" s="21">
        <f t="shared" si="45"/>
        <v>1.1659398427318004</v>
      </c>
      <c r="R80" s="21">
        <f t="shared" si="46"/>
        <v>11.7</v>
      </c>
      <c r="S80" s="21">
        <f t="shared" si="36"/>
        <v>3.333333333333333</v>
      </c>
    </row>
    <row r="81" spans="1:19">
      <c r="A81" s="17">
        <f t="shared" si="47"/>
        <v>68</v>
      </c>
      <c r="B81" s="17" t="s">
        <v>118</v>
      </c>
      <c r="C81" s="19" t="s">
        <v>28</v>
      </c>
      <c r="D81" s="13" t="s">
        <v>9</v>
      </c>
      <c r="E81" s="13">
        <v>2</v>
      </c>
      <c r="F81" s="20">
        <v>5</v>
      </c>
      <c r="G81" s="13">
        <v>1.3</v>
      </c>
      <c r="H81" s="20">
        <f t="shared" si="37"/>
        <v>2.6</v>
      </c>
      <c r="I81" s="20">
        <v>7.6068376068376062E-2</v>
      </c>
      <c r="J81" s="20">
        <f t="shared" si="38"/>
        <v>12</v>
      </c>
      <c r="K81" s="21">
        <f t="shared" si="39"/>
        <v>8.1</v>
      </c>
      <c r="L81" s="22">
        <f t="shared" si="40"/>
        <v>2.4300000000000002</v>
      </c>
      <c r="M81" s="21">
        <f t="shared" si="41"/>
        <v>10.178009197841526</v>
      </c>
      <c r="N81" s="21">
        <f t="shared" si="42"/>
        <v>2.078009197841526</v>
      </c>
      <c r="O81" s="21">
        <f t="shared" si="43"/>
        <v>25.654434541253408</v>
      </c>
      <c r="P81" s="21">
        <f t="shared" si="44"/>
        <v>2.55452706856601E-2</v>
      </c>
      <c r="Q81" s="21">
        <f t="shared" si="45"/>
        <v>1.256544345412534</v>
      </c>
      <c r="R81" s="21">
        <f t="shared" si="46"/>
        <v>8.1</v>
      </c>
      <c r="S81" s="21">
        <f t="shared" si="36"/>
        <v>3.333333333333333</v>
      </c>
    </row>
    <row r="82" spans="1:19">
      <c r="A82" s="17">
        <f t="shared" si="47"/>
        <v>69</v>
      </c>
      <c r="B82" s="17" t="s">
        <v>49</v>
      </c>
      <c r="C82" s="19" t="s">
        <v>28</v>
      </c>
      <c r="D82" s="13" t="s">
        <v>9</v>
      </c>
      <c r="E82" s="13">
        <v>2</v>
      </c>
      <c r="F82" s="20">
        <v>12.4</v>
      </c>
      <c r="G82" s="13">
        <v>1.3</v>
      </c>
      <c r="H82" s="20">
        <f t="shared" si="37"/>
        <v>2.6</v>
      </c>
      <c r="I82" s="20">
        <v>7.6068376068376062E-2</v>
      </c>
      <c r="J82" s="20">
        <f t="shared" si="38"/>
        <v>12</v>
      </c>
      <c r="K82" s="21">
        <f t="shared" si="39"/>
        <v>15.5</v>
      </c>
      <c r="L82" s="22">
        <f t="shared" si="40"/>
        <v>4.6500000000000004</v>
      </c>
      <c r="M82" s="21">
        <f t="shared" si="41"/>
        <v>17.367278579506387</v>
      </c>
      <c r="N82" s="21">
        <f t="shared" si="42"/>
        <v>1.8672785795063866</v>
      </c>
      <c r="O82" s="21">
        <f t="shared" si="43"/>
        <v>12.046958577460559</v>
      </c>
      <c r="P82" s="21">
        <f t="shared" si="44"/>
        <v>1.4970681722512551E-2</v>
      </c>
      <c r="Q82" s="21">
        <f t="shared" si="45"/>
        <v>1.1204695857746056</v>
      </c>
      <c r="R82" s="21">
        <f t="shared" si="46"/>
        <v>15.5</v>
      </c>
      <c r="S82" s="21">
        <f t="shared" si="36"/>
        <v>3.333333333333333</v>
      </c>
    </row>
    <row r="83" spans="1:19">
      <c r="A83" s="17">
        <f t="shared" si="47"/>
        <v>70</v>
      </c>
      <c r="B83" s="28" t="s">
        <v>119</v>
      </c>
      <c r="C83" s="23">
        <v>20</v>
      </c>
      <c r="D83" s="20" t="s">
        <v>21</v>
      </c>
      <c r="E83" s="13">
        <v>2</v>
      </c>
      <c r="F83" s="20">
        <v>9.5</v>
      </c>
      <c r="G83" s="20">
        <v>3.5</v>
      </c>
      <c r="H83" s="20">
        <f t="shared" si="37"/>
        <v>7</v>
      </c>
      <c r="I83" s="20">
        <v>0.37254025044722744</v>
      </c>
      <c r="J83" s="20">
        <f t="shared" si="38"/>
        <v>15</v>
      </c>
      <c r="K83" s="21">
        <f t="shared" si="39"/>
        <v>13.375</v>
      </c>
      <c r="L83" s="22">
        <f t="shared" si="40"/>
        <v>3.21</v>
      </c>
      <c r="M83" s="21">
        <f t="shared" si="41"/>
        <v>15.837953029345474</v>
      </c>
      <c r="N83" s="21">
        <f t="shared" si="42"/>
        <v>2.4629530293454742</v>
      </c>
      <c r="O83" s="21">
        <f t="shared" si="43"/>
        <v>18.414602088564294</v>
      </c>
      <c r="P83" s="21">
        <f t="shared" si="44"/>
        <v>4.4197630760932277E-2</v>
      </c>
      <c r="Q83" s="21">
        <f t="shared" si="45"/>
        <v>1.1841460208856429</v>
      </c>
      <c r="R83" s="21">
        <f t="shared" si="46"/>
        <v>13.375</v>
      </c>
      <c r="S83" s="21">
        <f t="shared" si="36"/>
        <v>4.166666666666667</v>
      </c>
    </row>
    <row r="84" spans="1:19">
      <c r="A84" s="17">
        <f t="shared" si="47"/>
        <v>71</v>
      </c>
      <c r="B84" s="17" t="s">
        <v>50</v>
      </c>
      <c r="C84" s="19" t="s">
        <v>51</v>
      </c>
      <c r="D84" s="13" t="s">
        <v>21</v>
      </c>
      <c r="E84" s="13">
        <v>2</v>
      </c>
      <c r="F84" s="20">
        <v>12.37142857142857</v>
      </c>
      <c r="G84" s="13">
        <v>3.5</v>
      </c>
      <c r="H84" s="20">
        <f t="shared" si="37"/>
        <v>7</v>
      </c>
      <c r="I84" s="20">
        <v>0.45769230769230773</v>
      </c>
      <c r="J84" s="20">
        <f t="shared" si="38"/>
        <v>42.857142857142861</v>
      </c>
      <c r="K84" s="21">
        <f t="shared" si="39"/>
        <v>23.442857142857143</v>
      </c>
      <c r="L84" s="22">
        <f t="shared" si="40"/>
        <v>1.9691999999999998</v>
      </c>
      <c r="M84" s="21">
        <f t="shared" si="41"/>
        <v>31.214034595190224</v>
      </c>
      <c r="N84" s="21">
        <f t="shared" si="42"/>
        <v>7.771177452333081</v>
      </c>
      <c r="O84" s="21">
        <f t="shared" si="43"/>
        <v>33.149446780214234</v>
      </c>
      <c r="P84" s="21">
        <f t="shared" si="44"/>
        <v>2.2425809706376861E-2</v>
      </c>
      <c r="Q84" s="21">
        <f t="shared" si="45"/>
        <v>1.3314944678021423</v>
      </c>
      <c r="R84" s="21">
        <f t="shared" si="46"/>
        <v>23.442857142857143</v>
      </c>
      <c r="S84" s="21">
        <f t="shared" si="36"/>
        <v>11.904761904761905</v>
      </c>
    </row>
    <row r="85" spans="1:19">
      <c r="A85" s="17">
        <f t="shared" si="47"/>
        <v>72</v>
      </c>
      <c r="B85" s="17" t="s">
        <v>52</v>
      </c>
      <c r="C85" s="19" t="s">
        <v>53</v>
      </c>
      <c r="D85" s="13" t="s">
        <v>9</v>
      </c>
      <c r="E85" s="13">
        <v>2</v>
      </c>
      <c r="F85" s="20">
        <v>10</v>
      </c>
      <c r="G85" s="13">
        <v>1.5</v>
      </c>
      <c r="H85" s="20">
        <f t="shared" si="37"/>
        <v>3</v>
      </c>
      <c r="I85" s="20">
        <v>7.6068376068376062E-2</v>
      </c>
      <c r="J85" s="20">
        <f t="shared" si="38"/>
        <v>75</v>
      </c>
      <c r="K85" s="21">
        <f t="shared" si="39"/>
        <v>29.375</v>
      </c>
      <c r="L85" s="22">
        <f t="shared" si="40"/>
        <v>1.41</v>
      </c>
      <c r="M85" s="21">
        <f t="shared" si="41"/>
        <v>44.07173765401717</v>
      </c>
      <c r="N85" s="21">
        <f t="shared" si="42"/>
        <v>14.69673765401717</v>
      </c>
      <c r="O85" s="21">
        <f t="shared" si="43"/>
        <v>50.031447332824406</v>
      </c>
      <c r="P85" s="21">
        <f t="shared" si="44"/>
        <v>6.8070835408200617E-3</v>
      </c>
      <c r="Q85" s="21">
        <f t="shared" si="45"/>
        <v>1.5003144733282441</v>
      </c>
      <c r="R85" s="21">
        <f t="shared" si="46"/>
        <v>29.375</v>
      </c>
      <c r="S85" s="21">
        <f t="shared" si="36"/>
        <v>20.833333333333332</v>
      </c>
    </row>
    <row r="86" spans="1:19">
      <c r="A86" s="17"/>
      <c r="B86" s="17"/>
      <c r="C86" s="19"/>
      <c r="E86" s="13">
        <v>2</v>
      </c>
      <c r="F86" s="20"/>
      <c r="I86" s="21"/>
      <c r="J86" s="21">
        <v>200000</v>
      </c>
      <c r="K86" s="22"/>
      <c r="L86" s="22"/>
      <c r="M86" s="21"/>
      <c r="N86" s="21"/>
      <c r="O86" s="21"/>
      <c r="P86" s="21"/>
      <c r="Q86" s="21"/>
      <c r="R86" s="21"/>
      <c r="S86" s="21">
        <f t="shared" si="36"/>
        <v>55555.555555555555</v>
      </c>
    </row>
    <row r="87" spans="1:19" ht="30.75" thickBot="1">
      <c r="A87" s="15"/>
      <c r="B87" s="15" t="s">
        <v>3</v>
      </c>
      <c r="C87" s="14" t="s">
        <v>4</v>
      </c>
      <c r="D87" s="14" t="s">
        <v>5</v>
      </c>
      <c r="E87" s="14" t="s">
        <v>6</v>
      </c>
      <c r="F87" s="14" t="s">
        <v>64</v>
      </c>
      <c r="G87" s="14" t="s">
        <v>7</v>
      </c>
      <c r="H87" s="14" t="s">
        <v>65</v>
      </c>
      <c r="I87" s="32" t="s">
        <v>171</v>
      </c>
      <c r="J87" s="14" t="s">
        <v>66</v>
      </c>
      <c r="K87" s="14" t="s">
        <v>125</v>
      </c>
      <c r="L87" s="14" t="s">
        <v>67</v>
      </c>
      <c r="M87" s="14" t="s">
        <v>68</v>
      </c>
      <c r="N87" s="14" t="s">
        <v>172</v>
      </c>
      <c r="O87" s="14" t="s">
        <v>69</v>
      </c>
      <c r="P87" s="14" t="s">
        <v>70</v>
      </c>
      <c r="Q87" s="14" t="s">
        <v>71</v>
      </c>
      <c r="R87" s="14" t="s">
        <v>124</v>
      </c>
      <c r="S87" s="14" t="s">
        <v>8</v>
      </c>
    </row>
    <row r="88" spans="1:19" ht="16.5" thickTop="1">
      <c r="A88" s="16"/>
      <c r="B88" s="16"/>
      <c r="E88" s="13">
        <v>4</v>
      </c>
      <c r="J88" s="13">
        <v>1</v>
      </c>
      <c r="M88" s="21"/>
      <c r="N88" s="21"/>
      <c r="O88" s="21"/>
      <c r="P88" s="21"/>
      <c r="Q88" s="21"/>
      <c r="R88" s="21"/>
      <c r="S88" s="21">
        <f t="shared" ref="S88:S97" si="48">2*J88/3.6/E88</f>
        <v>0.1388888888888889</v>
      </c>
    </row>
    <row r="89" spans="1:19">
      <c r="A89" s="17">
        <f>A85+1</f>
        <v>73</v>
      </c>
      <c r="B89" s="17" t="s">
        <v>54</v>
      </c>
      <c r="C89" s="19">
        <v>120</v>
      </c>
      <c r="D89" s="13" t="s">
        <v>21</v>
      </c>
      <c r="E89" s="13">
        <v>4</v>
      </c>
      <c r="F89" s="20">
        <v>4.55</v>
      </c>
      <c r="G89" s="13">
        <v>2.5</v>
      </c>
      <c r="H89" s="13">
        <f t="shared" ref="H89:H96" si="49">E89*G89</f>
        <v>10</v>
      </c>
      <c r="I89" s="21">
        <v>0.45769230769230773</v>
      </c>
      <c r="J89" s="21">
        <f t="shared" ref="J89:J96" si="50">100/C89*3</f>
        <v>2.5</v>
      </c>
      <c r="K89" s="21">
        <f t="shared" ref="K89:K96" si="51">F89+$I$2*J89/3.6</f>
        <v>5.1958333333333329</v>
      </c>
      <c r="L89" s="22">
        <f t="shared" ref="L89:L96" si="52">K89*3.6/J89</f>
        <v>7.4819999999999993</v>
      </c>
      <c r="M89" s="21">
        <f t="shared" ref="M89:M96" si="53">K89/(1+(EXP(-L89*E89)-1)/L89/E89)</f>
        <v>5.3754459347344943</v>
      </c>
      <c r="N89" s="21">
        <f t="shared" ref="N89:N96" si="54">M89-K89</f>
        <v>0.17961260140116142</v>
      </c>
      <c r="O89" s="21">
        <f t="shared" ref="O89:O96" si="55">N89/K89*100</f>
        <v>3.4568584070792898</v>
      </c>
      <c r="P89" s="21">
        <f t="shared" ref="P89:P96" si="56">$F$2*H89/M89</f>
        <v>0.18603107763363494</v>
      </c>
      <c r="Q89" s="21">
        <f t="shared" ref="Q89:Q96" si="57">M89/K89</f>
        <v>1.034568584070793</v>
      </c>
      <c r="R89" s="21">
        <f t="shared" ref="R89:R96" si="58">K89</f>
        <v>5.1958333333333329</v>
      </c>
      <c r="S89" s="21">
        <f t="shared" si="48"/>
        <v>0.34722222222222221</v>
      </c>
    </row>
    <row r="90" spans="1:19">
      <c r="A90" s="17">
        <f t="shared" ref="A90:A96" si="59">A89+1</f>
        <v>74</v>
      </c>
      <c r="B90" s="17" t="s">
        <v>120</v>
      </c>
      <c r="C90" s="19">
        <v>50</v>
      </c>
      <c r="D90" s="13" t="s">
        <v>9</v>
      </c>
      <c r="E90" s="13">
        <v>4</v>
      </c>
      <c r="F90" s="20">
        <v>3.1</v>
      </c>
      <c r="G90" s="13">
        <v>1.5</v>
      </c>
      <c r="H90" s="13">
        <f t="shared" si="49"/>
        <v>6</v>
      </c>
      <c r="I90" s="21">
        <v>7.6068376068376062E-2</v>
      </c>
      <c r="J90" s="21">
        <f t="shared" si="50"/>
        <v>6</v>
      </c>
      <c r="K90" s="21">
        <f t="shared" si="51"/>
        <v>4.6500000000000004</v>
      </c>
      <c r="L90" s="22">
        <f t="shared" si="52"/>
        <v>2.7900000000000005</v>
      </c>
      <c r="M90" s="21">
        <f t="shared" si="53"/>
        <v>5.1076700104685493</v>
      </c>
      <c r="N90" s="21">
        <f t="shared" si="54"/>
        <v>0.45767001046854894</v>
      </c>
      <c r="O90" s="21">
        <f t="shared" si="55"/>
        <v>9.8423658165279324</v>
      </c>
      <c r="P90" s="21">
        <f t="shared" si="56"/>
        <v>0.11747039232570927</v>
      </c>
      <c r="Q90" s="21">
        <f t="shared" si="57"/>
        <v>1.0984236581652793</v>
      </c>
      <c r="R90" s="21">
        <f t="shared" si="58"/>
        <v>4.6500000000000004</v>
      </c>
      <c r="S90" s="21">
        <f t="shared" si="48"/>
        <v>0.83333333333333326</v>
      </c>
    </row>
    <row r="91" spans="1:19">
      <c r="A91" s="17">
        <f t="shared" si="59"/>
        <v>75</v>
      </c>
      <c r="B91" s="17" t="s">
        <v>55</v>
      </c>
      <c r="C91" s="19">
        <v>25</v>
      </c>
      <c r="D91" s="13" t="s">
        <v>56</v>
      </c>
      <c r="E91" s="13">
        <v>4</v>
      </c>
      <c r="F91" s="20">
        <v>4.9000000000000004</v>
      </c>
      <c r="G91" s="13">
        <v>1</v>
      </c>
      <c r="H91" s="13">
        <f t="shared" si="49"/>
        <v>4</v>
      </c>
      <c r="I91" s="21">
        <v>7.9401709401709403E-2</v>
      </c>
      <c r="J91" s="21">
        <f t="shared" si="50"/>
        <v>12</v>
      </c>
      <c r="K91" s="21">
        <f t="shared" si="51"/>
        <v>8</v>
      </c>
      <c r="L91" s="22">
        <f t="shared" si="52"/>
        <v>2.4</v>
      </c>
      <c r="M91" s="21">
        <f t="shared" si="53"/>
        <v>8.9301622292320424</v>
      </c>
      <c r="N91" s="21">
        <f t="shared" si="54"/>
        <v>0.93016222923204239</v>
      </c>
      <c r="O91" s="21">
        <f t="shared" si="55"/>
        <v>11.62702786540053</v>
      </c>
      <c r="P91" s="21">
        <f t="shared" si="56"/>
        <v>4.4792019420502552E-2</v>
      </c>
      <c r="Q91" s="21">
        <f t="shared" si="57"/>
        <v>1.1162702786540053</v>
      </c>
      <c r="R91" s="21">
        <f t="shared" si="58"/>
        <v>8</v>
      </c>
      <c r="S91" s="21">
        <f t="shared" si="48"/>
        <v>1.6666666666666665</v>
      </c>
    </row>
    <row r="92" spans="1:19">
      <c r="A92" s="17">
        <f t="shared" si="59"/>
        <v>76</v>
      </c>
      <c r="B92" s="17" t="s">
        <v>57</v>
      </c>
      <c r="C92" s="19">
        <v>20</v>
      </c>
      <c r="D92" s="13" t="s">
        <v>21</v>
      </c>
      <c r="E92" s="13">
        <v>4</v>
      </c>
      <c r="F92" s="20">
        <v>8.3000000000000007</v>
      </c>
      <c r="G92" s="13">
        <v>5.8</v>
      </c>
      <c r="H92" s="13">
        <f t="shared" si="49"/>
        <v>23.2</v>
      </c>
      <c r="I92" s="21">
        <v>0.45769230769230773</v>
      </c>
      <c r="J92" s="21">
        <f t="shared" si="50"/>
        <v>15</v>
      </c>
      <c r="K92" s="21">
        <f t="shared" si="51"/>
        <v>12.175000000000001</v>
      </c>
      <c r="L92" s="22">
        <f t="shared" si="52"/>
        <v>2.9220000000000002</v>
      </c>
      <c r="M92" s="21">
        <f t="shared" si="53"/>
        <v>13.314117537615623</v>
      </c>
      <c r="N92" s="21">
        <f t="shared" si="54"/>
        <v>1.139117537615622</v>
      </c>
      <c r="O92" s="21">
        <f t="shared" si="55"/>
        <v>9.3562015409907335</v>
      </c>
      <c r="P92" s="21">
        <f t="shared" si="56"/>
        <v>0.17425112805602289</v>
      </c>
      <c r="Q92" s="21">
        <f t="shared" si="57"/>
        <v>1.0935620154099073</v>
      </c>
      <c r="R92" s="21">
        <f t="shared" si="58"/>
        <v>12.175000000000001</v>
      </c>
      <c r="S92" s="21">
        <f t="shared" si="48"/>
        <v>2.0833333333333335</v>
      </c>
    </row>
    <row r="93" spans="1:19">
      <c r="A93" s="17">
        <f t="shared" si="59"/>
        <v>77</v>
      </c>
      <c r="B93" s="17" t="s">
        <v>58</v>
      </c>
      <c r="C93" s="19">
        <v>15</v>
      </c>
      <c r="D93" s="13" t="s">
        <v>9</v>
      </c>
      <c r="E93" s="13">
        <v>4</v>
      </c>
      <c r="F93" s="20">
        <v>4.5</v>
      </c>
      <c r="G93" s="13">
        <v>1.3</v>
      </c>
      <c r="H93" s="13">
        <f t="shared" si="49"/>
        <v>5.2</v>
      </c>
      <c r="I93" s="21">
        <v>7.6068376068376062E-2</v>
      </c>
      <c r="J93" s="21">
        <f t="shared" si="50"/>
        <v>20</v>
      </c>
      <c r="K93" s="21">
        <f t="shared" si="51"/>
        <v>9.6666666666666679</v>
      </c>
      <c r="L93" s="22">
        <f t="shared" si="52"/>
        <v>1.7400000000000002</v>
      </c>
      <c r="M93" s="21">
        <f t="shared" si="53"/>
        <v>11.286793245502206</v>
      </c>
      <c r="N93" s="21">
        <f t="shared" si="54"/>
        <v>1.6201265788355386</v>
      </c>
      <c r="O93" s="21">
        <f t="shared" si="55"/>
        <v>16.759930125884882</v>
      </c>
      <c r="P93" s="21">
        <f t="shared" si="56"/>
        <v>4.6071544741658157E-2</v>
      </c>
      <c r="Q93" s="21">
        <f t="shared" si="57"/>
        <v>1.1675993012588488</v>
      </c>
      <c r="R93" s="21">
        <f t="shared" si="58"/>
        <v>9.6666666666666679</v>
      </c>
      <c r="S93" s="21">
        <f t="shared" si="48"/>
        <v>2.7777777777777777</v>
      </c>
    </row>
    <row r="94" spans="1:19">
      <c r="A94" s="17">
        <f t="shared" si="59"/>
        <v>78</v>
      </c>
      <c r="B94" s="17" t="s">
        <v>59</v>
      </c>
      <c r="C94" s="19" t="s">
        <v>30</v>
      </c>
      <c r="D94" s="13" t="s">
        <v>21</v>
      </c>
      <c r="E94" s="13">
        <v>4</v>
      </c>
      <c r="F94" s="20">
        <v>7.8</v>
      </c>
      <c r="G94" s="13">
        <v>2.2999999999999998</v>
      </c>
      <c r="H94" s="13">
        <f t="shared" si="49"/>
        <v>9.1999999999999993</v>
      </c>
      <c r="I94" s="21">
        <v>0.45769230769230773</v>
      </c>
      <c r="J94" s="21">
        <f t="shared" si="50"/>
        <v>20</v>
      </c>
      <c r="K94" s="21">
        <f t="shared" si="51"/>
        <v>12.966666666666667</v>
      </c>
      <c r="L94" s="22">
        <f t="shared" si="52"/>
        <v>2.3340000000000001</v>
      </c>
      <c r="M94" s="21">
        <f t="shared" si="53"/>
        <v>14.522015268921178</v>
      </c>
      <c r="N94" s="21">
        <f t="shared" si="54"/>
        <v>1.5553486022545115</v>
      </c>
      <c r="O94" s="21">
        <f t="shared" si="55"/>
        <v>11.994976367001374</v>
      </c>
      <c r="P94" s="21">
        <f t="shared" si="56"/>
        <v>6.3352088739977303E-2</v>
      </c>
      <c r="Q94" s="21">
        <f t="shared" si="57"/>
        <v>1.1199497636700138</v>
      </c>
      <c r="R94" s="21">
        <f t="shared" si="58"/>
        <v>12.966666666666667</v>
      </c>
      <c r="S94" s="21">
        <f t="shared" si="48"/>
        <v>2.7777777777777777</v>
      </c>
    </row>
    <row r="95" spans="1:19">
      <c r="A95" s="17">
        <f t="shared" si="59"/>
        <v>79</v>
      </c>
      <c r="B95" s="17" t="s">
        <v>121</v>
      </c>
      <c r="C95" s="19">
        <v>10</v>
      </c>
      <c r="D95" s="13" t="s">
        <v>9</v>
      </c>
      <c r="E95" s="13">
        <v>4</v>
      </c>
      <c r="F95" s="20">
        <v>8.5</v>
      </c>
      <c r="G95" s="13">
        <v>1.5</v>
      </c>
      <c r="H95" s="13">
        <f t="shared" si="49"/>
        <v>6</v>
      </c>
      <c r="I95" s="21">
        <v>8.8333333333333333E-2</v>
      </c>
      <c r="J95" s="21">
        <f t="shared" si="50"/>
        <v>30</v>
      </c>
      <c r="K95" s="21">
        <f t="shared" si="51"/>
        <v>16.25</v>
      </c>
      <c r="L95" s="22">
        <f t="shared" si="52"/>
        <v>1.95</v>
      </c>
      <c r="M95" s="21">
        <f t="shared" si="53"/>
        <v>18.638582811862261</v>
      </c>
      <c r="N95" s="21">
        <f t="shared" si="54"/>
        <v>2.3885828118622605</v>
      </c>
      <c r="O95" s="21">
        <f t="shared" si="55"/>
        <v>14.698971149921602</v>
      </c>
      <c r="P95" s="21">
        <f t="shared" si="56"/>
        <v>3.2191288686291029E-2</v>
      </c>
      <c r="Q95" s="21">
        <f t="shared" si="57"/>
        <v>1.146989711499216</v>
      </c>
      <c r="R95" s="21">
        <f t="shared" si="58"/>
        <v>16.25</v>
      </c>
      <c r="S95" s="21">
        <f t="shared" si="48"/>
        <v>4.166666666666667</v>
      </c>
    </row>
    <row r="96" spans="1:19">
      <c r="A96" s="17">
        <f t="shared" si="59"/>
        <v>80</v>
      </c>
      <c r="B96" s="17" t="s">
        <v>122</v>
      </c>
      <c r="C96" s="19" t="s">
        <v>51</v>
      </c>
      <c r="D96" s="13" t="s">
        <v>21</v>
      </c>
      <c r="E96" s="13">
        <v>4</v>
      </c>
      <c r="F96" s="20">
        <v>17.857142857142854</v>
      </c>
      <c r="G96" s="13">
        <v>3</v>
      </c>
      <c r="H96" s="13">
        <f t="shared" si="49"/>
        <v>12</v>
      </c>
      <c r="I96" s="21">
        <v>0.45769230769230773</v>
      </c>
      <c r="J96" s="21">
        <f t="shared" si="50"/>
        <v>42.857142857142861</v>
      </c>
      <c r="K96" s="21">
        <f t="shared" si="51"/>
        <v>28.928571428571427</v>
      </c>
      <c r="L96" s="22">
        <f t="shared" si="52"/>
        <v>2.4299999999999997</v>
      </c>
      <c r="M96" s="21">
        <f t="shared" si="53"/>
        <v>32.245846018087882</v>
      </c>
      <c r="N96" s="21">
        <f t="shared" si="54"/>
        <v>3.3172745895164546</v>
      </c>
      <c r="O96" s="21">
        <f t="shared" si="55"/>
        <v>11.467122037834658</v>
      </c>
      <c r="P96" s="21">
        <f t="shared" si="56"/>
        <v>3.7214095711022001E-2</v>
      </c>
      <c r="Q96" s="21">
        <f t="shared" si="57"/>
        <v>1.1146712203783466</v>
      </c>
      <c r="R96" s="21">
        <f t="shared" si="58"/>
        <v>28.928571428571427</v>
      </c>
      <c r="S96" s="21">
        <f t="shared" si="48"/>
        <v>5.9523809523809526</v>
      </c>
    </row>
    <row r="97" spans="1:19">
      <c r="A97" s="29"/>
      <c r="B97" s="29"/>
      <c r="C97" s="19"/>
      <c r="E97" s="13">
        <v>4</v>
      </c>
      <c r="F97" s="20"/>
      <c r="I97" s="21"/>
      <c r="J97" s="21">
        <v>200000</v>
      </c>
      <c r="K97" s="21"/>
      <c r="L97" s="20"/>
      <c r="M97" s="21"/>
      <c r="N97" s="21"/>
      <c r="O97" s="21"/>
      <c r="P97" s="21"/>
      <c r="Q97" s="21"/>
      <c r="R97" s="21"/>
      <c r="S97" s="21">
        <f t="shared" si="48"/>
        <v>27777.777777777777</v>
      </c>
    </row>
    <row r="98" spans="1:19" ht="30.75" thickBot="1">
      <c r="A98" s="15"/>
      <c r="B98" s="15" t="s">
        <v>3</v>
      </c>
      <c r="C98" s="14" t="s">
        <v>4</v>
      </c>
      <c r="D98" s="14" t="s">
        <v>5</v>
      </c>
      <c r="E98" s="14" t="s">
        <v>6</v>
      </c>
      <c r="F98" s="14" t="s">
        <v>64</v>
      </c>
      <c r="G98" s="14" t="s">
        <v>7</v>
      </c>
      <c r="H98" s="14" t="s">
        <v>65</v>
      </c>
      <c r="I98" s="32" t="s">
        <v>171</v>
      </c>
      <c r="J98" s="14" t="s">
        <v>66</v>
      </c>
      <c r="K98" s="14" t="s">
        <v>125</v>
      </c>
      <c r="L98" s="14" t="s">
        <v>162</v>
      </c>
      <c r="M98" s="14" t="s">
        <v>68</v>
      </c>
      <c r="N98" s="14" t="s">
        <v>172</v>
      </c>
      <c r="O98" s="14" t="s">
        <v>69</v>
      </c>
      <c r="P98" s="14" t="s">
        <v>70</v>
      </c>
      <c r="Q98" s="14" t="s">
        <v>71</v>
      </c>
      <c r="R98" s="14" t="s">
        <v>124</v>
      </c>
      <c r="S98" s="14" t="s">
        <v>8</v>
      </c>
    </row>
    <row r="99" spans="1:19" ht="16.5" thickTop="1">
      <c r="A99" s="17"/>
      <c r="B99" s="16"/>
      <c r="E99" s="13">
        <v>8</v>
      </c>
      <c r="J99" s="13">
        <v>1</v>
      </c>
      <c r="S99" s="21">
        <f t="shared" ref="S99:S104" si="60">2*J99/3.6/E99</f>
        <v>6.9444444444444448E-2</v>
      </c>
    </row>
    <row r="100" spans="1:19">
      <c r="A100" s="17">
        <f>A96+1</f>
        <v>81</v>
      </c>
      <c r="B100" s="17" t="s">
        <v>60</v>
      </c>
      <c r="C100" s="19" t="s">
        <v>18</v>
      </c>
      <c r="D100" s="13" t="s">
        <v>56</v>
      </c>
      <c r="E100" s="13">
        <v>8</v>
      </c>
      <c r="F100" s="20">
        <v>4</v>
      </c>
      <c r="G100" s="13">
        <v>1</v>
      </c>
      <c r="H100" s="13">
        <f>E100*G100</f>
        <v>8</v>
      </c>
      <c r="I100" s="21">
        <v>7.9401709401709403E-2</v>
      </c>
      <c r="J100" s="21">
        <f>100/C100*3</f>
        <v>15</v>
      </c>
      <c r="K100" s="21">
        <f>F100+$I$2*J100/3.6</f>
        <v>7.875</v>
      </c>
      <c r="L100" s="22">
        <f>K100*3.6/J100</f>
        <v>1.8900000000000001</v>
      </c>
      <c r="M100" s="21">
        <f>K100/(1+(EXP(-L100*E100)-1)/L100/E100)</f>
        <v>8.4327193847103619</v>
      </c>
      <c r="N100" s="21">
        <f>M100-K100</f>
        <v>0.55771938471036187</v>
      </c>
      <c r="O100" s="21">
        <f>N100/K100*100</f>
        <v>7.0821509169569765</v>
      </c>
      <c r="P100" s="21">
        <f>$F$2*H100/M100</f>
        <v>9.4868566532701912E-2</v>
      </c>
      <c r="Q100" s="21">
        <f>M100/K100</f>
        <v>1.0708215091695699</v>
      </c>
      <c r="R100" s="21">
        <f>K100</f>
        <v>7.875</v>
      </c>
      <c r="S100" s="21">
        <f t="shared" si="60"/>
        <v>1.0416666666666667</v>
      </c>
    </row>
    <row r="101" spans="1:19">
      <c r="A101" s="17">
        <f>A100+1</f>
        <v>82</v>
      </c>
      <c r="B101" s="17" t="s">
        <v>61</v>
      </c>
      <c r="C101" s="19" t="s">
        <v>33</v>
      </c>
      <c r="D101" s="13" t="s">
        <v>9</v>
      </c>
      <c r="E101" s="13">
        <v>8</v>
      </c>
      <c r="F101" s="20">
        <v>5.5</v>
      </c>
      <c r="G101" s="13">
        <v>1.3</v>
      </c>
      <c r="H101" s="13">
        <f>E101*G101</f>
        <v>10.4</v>
      </c>
      <c r="I101" s="21">
        <v>7.6068376068376062E-2</v>
      </c>
      <c r="J101" s="21">
        <f>100/C101*3</f>
        <v>30</v>
      </c>
      <c r="K101" s="21">
        <f>F101+$I$2*J101/3.6</f>
        <v>13.25</v>
      </c>
      <c r="L101" s="22">
        <f>K101*3.6/J101</f>
        <v>1.59</v>
      </c>
      <c r="M101" s="21">
        <f>K101/(1+(EXP(-L101*E101)-1)/L101/E101)</f>
        <v>14.380542405458975</v>
      </c>
      <c r="N101" s="21">
        <f>M101-K101</f>
        <v>1.130542405458975</v>
      </c>
      <c r="O101" s="21">
        <f>N101/K101*100</f>
        <v>8.5323955128979243</v>
      </c>
      <c r="P101" s="21">
        <f>$F$2*H101/M101</f>
        <v>7.2319942508233023E-2</v>
      </c>
      <c r="Q101" s="21">
        <f>M101/K101</f>
        <v>1.0853239551289793</v>
      </c>
      <c r="R101" s="21">
        <f>K101</f>
        <v>13.25</v>
      </c>
      <c r="S101" s="21">
        <f t="shared" si="60"/>
        <v>2.0833333333333335</v>
      </c>
    </row>
    <row r="102" spans="1:19">
      <c r="A102" s="17">
        <f>A103+1</f>
        <v>84</v>
      </c>
      <c r="B102" s="17" t="s">
        <v>123</v>
      </c>
      <c r="C102" s="23">
        <v>7</v>
      </c>
      <c r="D102" s="13" t="s">
        <v>21</v>
      </c>
      <c r="E102" s="13">
        <v>8</v>
      </c>
      <c r="F102" s="20">
        <v>17.8571428571429</v>
      </c>
      <c r="G102" s="13">
        <v>3</v>
      </c>
      <c r="H102" s="13">
        <f>E102*G102</f>
        <v>24</v>
      </c>
      <c r="I102" s="21">
        <v>7.6068376068376062E-2</v>
      </c>
      <c r="J102" s="21">
        <f>100/C102*3</f>
        <v>42.857142857142861</v>
      </c>
      <c r="K102" s="21">
        <f>F102+$I$2*J102/3.6</f>
        <v>28.928571428571473</v>
      </c>
      <c r="L102" s="22">
        <f>K102*3.6/J102</f>
        <v>2.4300000000000037</v>
      </c>
      <c r="M102" s="21">
        <f>K102/(1+(EXP(-L102*E102)-1)/L102/E102)</f>
        <v>30.497365968621615</v>
      </c>
      <c r="N102" s="21">
        <f>M102-K102</f>
        <v>1.568794540050142</v>
      </c>
      <c r="O102" s="21">
        <f>N102/K102*100</f>
        <v>5.4229934717782609</v>
      </c>
      <c r="P102" s="21">
        <f>$F$2*H102/M102</f>
        <v>7.8695320850637809E-2</v>
      </c>
      <c r="Q102" s="21">
        <f>M102/K102</f>
        <v>1.0542299347177826</v>
      </c>
      <c r="R102" s="21">
        <f>K102</f>
        <v>28.928571428571473</v>
      </c>
      <c r="S102" s="21">
        <f t="shared" si="60"/>
        <v>2.9761904761904763</v>
      </c>
    </row>
    <row r="103" spans="1:19">
      <c r="A103" s="17">
        <f>A101+1</f>
        <v>83</v>
      </c>
      <c r="B103" s="17" t="s">
        <v>62</v>
      </c>
      <c r="C103" s="19">
        <v>5</v>
      </c>
      <c r="D103" s="13" t="s">
        <v>9</v>
      </c>
      <c r="E103" s="13">
        <v>8</v>
      </c>
      <c r="F103" s="20">
        <v>8.5</v>
      </c>
      <c r="G103" s="13">
        <v>1.5</v>
      </c>
      <c r="H103" s="13">
        <f>E103*G103</f>
        <v>12</v>
      </c>
      <c r="I103" s="21">
        <v>7.6068376068376062E-2</v>
      </c>
      <c r="J103" s="21">
        <f>100/C103*3</f>
        <v>60</v>
      </c>
      <c r="K103" s="21">
        <f>F103+$I$2*J103/3.6</f>
        <v>24</v>
      </c>
      <c r="L103" s="22">
        <f>K103*3.6/J103</f>
        <v>1.4400000000000002</v>
      </c>
      <c r="M103" s="21">
        <f>K103/(1+(EXP(-L103*E103)-1)/L103/E103)</f>
        <v>26.281344015140821</v>
      </c>
      <c r="N103" s="21">
        <f>M103-K103</f>
        <v>2.2813440151408209</v>
      </c>
      <c r="O103" s="21">
        <f>N103/K103*100</f>
        <v>9.5056000630867548</v>
      </c>
      <c r="P103" s="21">
        <f>$F$2*H103/M103</f>
        <v>4.5659765319029114E-2</v>
      </c>
      <c r="Q103" s="21">
        <f>M103/K103</f>
        <v>1.0950560006308676</v>
      </c>
      <c r="R103" s="21">
        <f>K103</f>
        <v>24</v>
      </c>
      <c r="S103" s="21">
        <f t="shared" si="60"/>
        <v>4.166666666666667</v>
      </c>
    </row>
    <row r="104" spans="1:19" ht="16.5" thickBot="1">
      <c r="A104" s="30"/>
      <c r="B104" s="30"/>
      <c r="C104" s="31"/>
      <c r="D104" s="31"/>
      <c r="E104" s="31">
        <v>8</v>
      </c>
      <c r="F104" s="31"/>
      <c r="G104" s="31"/>
      <c r="H104" s="31"/>
      <c r="I104" s="31"/>
      <c r="J104" s="31">
        <v>200000</v>
      </c>
      <c r="K104" s="31"/>
      <c r="L104" s="31"/>
      <c r="M104" s="31"/>
      <c r="N104" s="31"/>
      <c r="O104" s="31"/>
      <c r="P104" s="31"/>
      <c r="Q104" s="31"/>
      <c r="R104" s="31"/>
      <c r="S104" s="33">
        <f t="shared" si="60"/>
        <v>13888.888888888889</v>
      </c>
    </row>
  </sheetData>
  <mergeCells count="2">
    <mergeCell ref="G2:H2"/>
    <mergeCell ref="D2:E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3DF28-178A-4ED6-91D8-8E076721A0F4}">
  <sheetPr codeName="Sheet3"/>
  <dimension ref="A1:AH96"/>
  <sheetViews>
    <sheetView topLeftCell="L19" zoomScale="70" zoomScaleNormal="70" workbookViewId="0">
      <selection activeCell="Y40" sqref="Y40"/>
    </sheetView>
  </sheetViews>
  <sheetFormatPr defaultColWidth="9.140625" defaultRowHeight="15.75"/>
  <cols>
    <col min="1" max="1" width="18.7109375" style="13" customWidth="1"/>
    <col min="2" max="2" width="35.7109375" style="13" customWidth="1"/>
    <col min="3" max="3" width="18.7109375" style="13" customWidth="1"/>
    <col min="4" max="4" width="25.7109375" style="13" customWidth="1"/>
    <col min="5" max="19" width="18.7109375" style="13" customWidth="1"/>
    <col min="20" max="20" width="10.42578125" style="3" bestFit="1" customWidth="1"/>
    <col min="21" max="16384" width="9.140625" style="3"/>
  </cols>
  <sheetData>
    <row r="1" spans="1:34" ht="32.1" customHeight="1">
      <c r="A1" s="53" t="s">
        <v>174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34" ht="18" customHeight="1">
      <c r="A2" s="37"/>
      <c r="B2" s="38"/>
      <c r="C2" s="23"/>
      <c r="D2" s="52" t="s">
        <v>168</v>
      </c>
      <c r="E2" s="52"/>
      <c r="F2" s="23">
        <v>0.1</v>
      </c>
      <c r="G2" s="52" t="s">
        <v>170</v>
      </c>
      <c r="H2" s="52"/>
      <c r="I2" s="23">
        <v>0.93</v>
      </c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34" ht="50.1" customHeight="1" thickBot="1">
      <c r="A3" s="45" t="s">
        <v>63</v>
      </c>
      <c r="B3" s="46" t="s">
        <v>126</v>
      </c>
      <c r="C3" s="47" t="s">
        <v>173</v>
      </c>
      <c r="D3" s="47" t="s">
        <v>5</v>
      </c>
      <c r="E3" s="48" t="s">
        <v>6</v>
      </c>
      <c r="F3" s="48" t="s">
        <v>127</v>
      </c>
      <c r="G3" s="48" t="s">
        <v>7</v>
      </c>
      <c r="H3" s="48" t="s">
        <v>65</v>
      </c>
      <c r="I3" s="49" t="s">
        <v>171</v>
      </c>
      <c r="J3" s="47" t="s">
        <v>66</v>
      </c>
      <c r="K3" s="47" t="s">
        <v>125</v>
      </c>
      <c r="L3" s="47" t="s">
        <v>162</v>
      </c>
      <c r="M3" s="47" t="s">
        <v>68</v>
      </c>
      <c r="N3" s="48" t="s">
        <v>172</v>
      </c>
      <c r="O3" s="48" t="s">
        <v>69</v>
      </c>
      <c r="P3" s="48" t="s">
        <v>70</v>
      </c>
      <c r="Q3" s="47" t="s">
        <v>128</v>
      </c>
      <c r="R3" s="48" t="s">
        <v>124</v>
      </c>
      <c r="S3" s="48" t="s">
        <v>8</v>
      </c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4" ht="18" customHeight="1" thickTop="1">
      <c r="A4" s="37">
        <v>1</v>
      </c>
      <c r="B4" s="38" t="s">
        <v>129</v>
      </c>
      <c r="C4" s="23">
        <v>150</v>
      </c>
      <c r="D4" s="34" t="s">
        <v>9</v>
      </c>
      <c r="E4" s="23">
        <v>2</v>
      </c>
      <c r="F4" s="23">
        <v>25</v>
      </c>
      <c r="G4" s="23">
        <v>1.3</v>
      </c>
      <c r="H4" s="23">
        <f t="shared" ref="H4:H32" si="0">G4*E4</f>
        <v>2.6</v>
      </c>
      <c r="I4" s="23">
        <v>7.6068376068376062E-2</v>
      </c>
      <c r="J4" s="35">
        <f t="shared" ref="J4:J32" si="1">100*3/C4</f>
        <v>2</v>
      </c>
      <c r="K4" s="35">
        <f t="shared" ref="K4:K32" si="2">F4+J4*$I$2/3.6</f>
        <v>25.516666666666666</v>
      </c>
      <c r="L4" s="35">
        <f t="shared" ref="L4:L32" si="3">K4/J4*3.6</f>
        <v>45.93</v>
      </c>
      <c r="M4" s="35">
        <f t="shared" ref="M4:M32" si="4">K4/(1+(EXP(-L4*E4)-1)/L4/E4)</f>
        <v>25.79750165089148</v>
      </c>
      <c r="N4" s="36">
        <f t="shared" ref="N4:N32" si="5">M4-K4</f>
        <v>0.28083498422481412</v>
      </c>
      <c r="O4" s="36">
        <f t="shared" ref="O4:O32" si="6">N4/K4*100</f>
        <v>1.1005943209333018</v>
      </c>
      <c r="P4" s="36">
        <f t="shared" ref="P4:P32" si="7">$F$2*H4/M4</f>
        <v>1.0078495333326793E-2</v>
      </c>
      <c r="Q4" s="36">
        <f t="shared" ref="Q4:Q32" si="8">M4/K4</f>
        <v>1.011005943209333</v>
      </c>
      <c r="R4" s="36">
        <f>K4</f>
        <v>25.516666666666666</v>
      </c>
      <c r="S4" s="36">
        <f t="shared" ref="S4" si="9">2*J4/3.6/E4</f>
        <v>0.55555555555555558</v>
      </c>
      <c r="T4" s="4"/>
      <c r="U4" s="4"/>
      <c r="V4" s="4"/>
      <c r="W4" s="4"/>
    </row>
    <row r="5" spans="1:34" ht="18" customHeight="1">
      <c r="A5" s="37">
        <f>A4+1</f>
        <v>2</v>
      </c>
      <c r="B5" s="38" t="s">
        <v>130</v>
      </c>
      <c r="C5" s="23">
        <v>100</v>
      </c>
      <c r="D5" s="34" t="s">
        <v>21</v>
      </c>
      <c r="E5" s="23">
        <v>1</v>
      </c>
      <c r="F5" s="23">
        <v>30</v>
      </c>
      <c r="G5" s="23">
        <v>2</v>
      </c>
      <c r="H5" s="23">
        <f t="shared" si="0"/>
        <v>2</v>
      </c>
      <c r="I5" s="23">
        <v>0.45769230769230773</v>
      </c>
      <c r="J5" s="35">
        <f t="shared" si="1"/>
        <v>3</v>
      </c>
      <c r="K5" s="35">
        <f t="shared" si="2"/>
        <v>30.774999999999999</v>
      </c>
      <c r="L5" s="35">
        <f t="shared" si="3"/>
        <v>36.93</v>
      </c>
      <c r="M5" s="35">
        <f t="shared" si="4"/>
        <v>31.631526579460058</v>
      </c>
      <c r="N5" s="36">
        <f t="shared" si="5"/>
        <v>0.85652657946005917</v>
      </c>
      <c r="O5" s="36">
        <f t="shared" si="6"/>
        <v>2.7831895352073412</v>
      </c>
      <c r="P5" s="36">
        <f t="shared" si="7"/>
        <v>6.3228058088688668E-3</v>
      </c>
      <c r="Q5" s="36">
        <f t="shared" si="8"/>
        <v>1.0278318953520733</v>
      </c>
      <c r="R5" s="36">
        <f t="shared" ref="R5:R32" si="10">K5</f>
        <v>30.774999999999999</v>
      </c>
      <c r="S5" s="36">
        <f t="shared" ref="S5:S32" si="11">2*J5/3.6/E5</f>
        <v>1.6666666666666665</v>
      </c>
      <c r="T5" s="4"/>
      <c r="U5" s="4"/>
      <c r="V5" s="4"/>
      <c r="W5" s="4"/>
    </row>
    <row r="6" spans="1:34" ht="18" customHeight="1">
      <c r="A6" s="37">
        <f t="shared" ref="A6:A32" si="12">A5+1</f>
        <v>3</v>
      </c>
      <c r="B6" s="38" t="s">
        <v>131</v>
      </c>
      <c r="C6" s="23">
        <v>60</v>
      </c>
      <c r="D6" s="34" t="s">
        <v>9</v>
      </c>
      <c r="E6" s="23">
        <v>4</v>
      </c>
      <c r="F6" s="23">
        <v>15</v>
      </c>
      <c r="G6" s="23">
        <v>1.5</v>
      </c>
      <c r="H6" s="23">
        <f t="shared" si="0"/>
        <v>6</v>
      </c>
      <c r="I6" s="23">
        <v>0.1</v>
      </c>
      <c r="J6" s="35">
        <f t="shared" si="1"/>
        <v>5</v>
      </c>
      <c r="K6" s="35">
        <f t="shared" si="2"/>
        <v>16.291666666666668</v>
      </c>
      <c r="L6" s="35">
        <f t="shared" si="3"/>
        <v>11.730000000000002</v>
      </c>
      <c r="M6" s="35">
        <f t="shared" si="4"/>
        <v>16.646450348432058</v>
      </c>
      <c r="N6" s="36">
        <f t="shared" si="5"/>
        <v>0.35478368176539021</v>
      </c>
      <c r="O6" s="36">
        <f t="shared" si="6"/>
        <v>2.1777003484320625</v>
      </c>
      <c r="P6" s="36">
        <f t="shared" si="7"/>
        <v>3.6043720279171382E-2</v>
      </c>
      <c r="Q6" s="36">
        <f t="shared" si="8"/>
        <v>1.0217770034843205</v>
      </c>
      <c r="R6" s="36">
        <f t="shared" si="10"/>
        <v>16.291666666666668</v>
      </c>
      <c r="S6" s="36">
        <f t="shared" si="11"/>
        <v>0.69444444444444442</v>
      </c>
      <c r="T6" s="4"/>
      <c r="U6" s="4"/>
      <c r="V6" s="4"/>
      <c r="W6" s="4"/>
    </row>
    <row r="7" spans="1:34" ht="18" customHeight="1">
      <c r="A7" s="37">
        <f t="shared" si="12"/>
        <v>4</v>
      </c>
      <c r="B7" s="38" t="s">
        <v>132</v>
      </c>
      <c r="C7" s="23">
        <v>150</v>
      </c>
      <c r="D7" s="34" t="s">
        <v>9</v>
      </c>
      <c r="E7" s="23">
        <v>4</v>
      </c>
      <c r="F7" s="23">
        <v>30</v>
      </c>
      <c r="G7" s="23">
        <v>1.3</v>
      </c>
      <c r="H7" s="23">
        <f t="shared" si="0"/>
        <v>5.2</v>
      </c>
      <c r="I7" s="23">
        <v>8.8333333333333333E-2</v>
      </c>
      <c r="J7" s="35">
        <f t="shared" si="1"/>
        <v>2</v>
      </c>
      <c r="K7" s="35">
        <f t="shared" si="2"/>
        <v>30.516666666666666</v>
      </c>
      <c r="L7" s="35">
        <f t="shared" si="3"/>
        <v>54.93</v>
      </c>
      <c r="M7" s="35">
        <f t="shared" si="4"/>
        <v>30.656190563277249</v>
      </c>
      <c r="N7" s="36">
        <f t="shared" si="5"/>
        <v>0.13952389661058362</v>
      </c>
      <c r="O7" s="36">
        <f t="shared" si="6"/>
        <v>0.45720555961960774</v>
      </c>
      <c r="P7" s="36">
        <f t="shared" si="7"/>
        <v>1.6962316271053681E-2</v>
      </c>
      <c r="Q7" s="36">
        <f t="shared" si="8"/>
        <v>1.0045720555961961</v>
      </c>
      <c r="R7" s="36">
        <f t="shared" si="10"/>
        <v>30.516666666666666</v>
      </c>
      <c r="S7" s="36">
        <f t="shared" si="11"/>
        <v>0.27777777777777779</v>
      </c>
      <c r="T7" s="4"/>
      <c r="U7" s="4"/>
      <c r="V7" s="4"/>
      <c r="W7" s="4"/>
    </row>
    <row r="8" spans="1:34" ht="18" customHeight="1">
      <c r="A8" s="37">
        <f t="shared" si="12"/>
        <v>5</v>
      </c>
      <c r="B8" s="38" t="s">
        <v>133</v>
      </c>
      <c r="C8" s="23">
        <v>25</v>
      </c>
      <c r="D8" s="34" t="s">
        <v>56</v>
      </c>
      <c r="E8" s="23">
        <v>8</v>
      </c>
      <c r="F8" s="23">
        <v>15</v>
      </c>
      <c r="G8" s="23">
        <v>1</v>
      </c>
      <c r="H8" s="23">
        <f t="shared" si="0"/>
        <v>8</v>
      </c>
      <c r="I8" s="23">
        <v>7.9401709401709403E-2</v>
      </c>
      <c r="J8" s="35">
        <f t="shared" si="1"/>
        <v>12</v>
      </c>
      <c r="K8" s="35">
        <f t="shared" si="2"/>
        <v>18.100000000000001</v>
      </c>
      <c r="L8" s="35">
        <f t="shared" si="3"/>
        <v>5.4300000000000006</v>
      </c>
      <c r="M8" s="35">
        <f t="shared" si="4"/>
        <v>18.526484448633365</v>
      </c>
      <c r="N8" s="36">
        <f t="shared" si="5"/>
        <v>0.42648444863336366</v>
      </c>
      <c r="O8" s="36">
        <f t="shared" si="6"/>
        <v>2.356267672007534</v>
      </c>
      <c r="P8" s="36">
        <f t="shared" si="7"/>
        <v>4.3181425068424859E-2</v>
      </c>
      <c r="Q8" s="36">
        <f t="shared" si="8"/>
        <v>1.0235626767200754</v>
      </c>
      <c r="R8" s="36">
        <f t="shared" si="10"/>
        <v>18.100000000000001</v>
      </c>
      <c r="S8" s="36">
        <f t="shared" si="11"/>
        <v>0.83333333333333326</v>
      </c>
      <c r="T8" s="4"/>
      <c r="U8" s="4"/>
      <c r="V8" s="4"/>
      <c r="W8" s="4"/>
    </row>
    <row r="9" spans="1:34" ht="18" customHeight="1">
      <c r="A9" s="37">
        <f t="shared" si="12"/>
        <v>6</v>
      </c>
      <c r="B9" s="38" t="s">
        <v>134</v>
      </c>
      <c r="C9" s="23">
        <v>30</v>
      </c>
      <c r="D9" s="34" t="s">
        <v>9</v>
      </c>
      <c r="E9" s="23">
        <v>4</v>
      </c>
      <c r="F9" s="23">
        <v>20</v>
      </c>
      <c r="G9" s="23">
        <v>1.3</v>
      </c>
      <c r="H9" s="23">
        <f t="shared" si="0"/>
        <v>5.2</v>
      </c>
      <c r="I9" s="23">
        <v>7.8333333333333324E-2</v>
      </c>
      <c r="J9" s="35">
        <f t="shared" si="1"/>
        <v>10</v>
      </c>
      <c r="K9" s="35">
        <f t="shared" si="2"/>
        <v>22.583333333333332</v>
      </c>
      <c r="L9" s="35">
        <f t="shared" si="3"/>
        <v>8.1300000000000008</v>
      </c>
      <c r="M9" s="35">
        <f t="shared" si="4"/>
        <v>23.299809644670045</v>
      </c>
      <c r="N9" s="36">
        <f t="shared" si="5"/>
        <v>0.71647631133671297</v>
      </c>
      <c r="O9" s="36">
        <f t="shared" si="6"/>
        <v>3.17258883248729</v>
      </c>
      <c r="P9" s="36">
        <f t="shared" si="7"/>
        <v>2.2317778897346176E-2</v>
      </c>
      <c r="Q9" s="36">
        <f t="shared" si="8"/>
        <v>1.031725888324873</v>
      </c>
      <c r="R9" s="36">
        <f t="shared" si="10"/>
        <v>22.583333333333332</v>
      </c>
      <c r="S9" s="36">
        <f t="shared" si="11"/>
        <v>1.3888888888888888</v>
      </c>
      <c r="T9" s="4"/>
      <c r="U9" s="4"/>
      <c r="V9" s="4"/>
      <c r="W9" s="4"/>
    </row>
    <row r="10" spans="1:34" ht="18" customHeight="1">
      <c r="A10" s="37">
        <f t="shared" si="12"/>
        <v>7</v>
      </c>
      <c r="B10" s="38" t="s">
        <v>135</v>
      </c>
      <c r="C10" s="23">
        <v>25</v>
      </c>
      <c r="D10" s="34" t="s">
        <v>11</v>
      </c>
      <c r="E10" s="23">
        <v>4</v>
      </c>
      <c r="F10" s="23">
        <v>20</v>
      </c>
      <c r="G10" s="23">
        <v>1.8</v>
      </c>
      <c r="H10" s="23">
        <f t="shared" si="0"/>
        <v>7.2</v>
      </c>
      <c r="I10" s="23">
        <v>0.32083333333333341</v>
      </c>
      <c r="J10" s="35">
        <f t="shared" si="1"/>
        <v>12</v>
      </c>
      <c r="K10" s="35">
        <f t="shared" si="2"/>
        <v>23.1</v>
      </c>
      <c r="L10" s="35">
        <f t="shared" si="3"/>
        <v>6.9300000000000006</v>
      </c>
      <c r="M10" s="35">
        <f t="shared" si="4"/>
        <v>23.964520958083014</v>
      </c>
      <c r="N10" s="36">
        <f t="shared" si="5"/>
        <v>0.86452095808301266</v>
      </c>
      <c r="O10" s="36">
        <f t="shared" si="6"/>
        <v>3.7425149700563312</v>
      </c>
      <c r="P10" s="36">
        <f t="shared" si="7"/>
        <v>3.0044414459999905E-2</v>
      </c>
      <c r="Q10" s="36">
        <f t="shared" si="8"/>
        <v>1.0374251497005633</v>
      </c>
      <c r="R10" s="36">
        <f t="shared" si="10"/>
        <v>23.1</v>
      </c>
      <c r="S10" s="36">
        <f t="shared" si="11"/>
        <v>1.6666666666666665</v>
      </c>
      <c r="T10" s="4"/>
      <c r="U10" s="4"/>
      <c r="V10" s="4"/>
      <c r="W10" s="4"/>
    </row>
    <row r="11" spans="1:34" ht="18" customHeight="1">
      <c r="A11" s="37">
        <f t="shared" si="12"/>
        <v>8</v>
      </c>
      <c r="B11" s="38" t="s">
        <v>136</v>
      </c>
      <c r="C11" s="23">
        <v>25</v>
      </c>
      <c r="D11" s="34" t="s">
        <v>9</v>
      </c>
      <c r="E11" s="23">
        <v>4</v>
      </c>
      <c r="F11" s="23">
        <v>20</v>
      </c>
      <c r="G11" s="23">
        <v>1.3</v>
      </c>
      <c r="H11" s="23">
        <f t="shared" si="0"/>
        <v>5.2</v>
      </c>
      <c r="I11" s="23">
        <v>7.8333333333333324E-2</v>
      </c>
      <c r="J11" s="35">
        <f t="shared" si="1"/>
        <v>12</v>
      </c>
      <c r="K11" s="35">
        <f t="shared" si="2"/>
        <v>23.1</v>
      </c>
      <c r="L11" s="35">
        <f t="shared" si="3"/>
        <v>6.9300000000000006</v>
      </c>
      <c r="M11" s="35">
        <f t="shared" si="4"/>
        <v>23.964520958083014</v>
      </c>
      <c r="N11" s="36">
        <f t="shared" si="5"/>
        <v>0.86452095808301266</v>
      </c>
      <c r="O11" s="36">
        <f t="shared" si="6"/>
        <v>3.7425149700563312</v>
      </c>
      <c r="P11" s="36">
        <f t="shared" si="7"/>
        <v>2.1698743776666595E-2</v>
      </c>
      <c r="Q11" s="36">
        <f t="shared" si="8"/>
        <v>1.0374251497005633</v>
      </c>
      <c r="R11" s="36">
        <f t="shared" si="10"/>
        <v>23.1</v>
      </c>
      <c r="S11" s="36">
        <f t="shared" si="11"/>
        <v>1.6666666666666665</v>
      </c>
      <c r="T11" s="4"/>
      <c r="U11" s="4"/>
      <c r="V11" s="4"/>
      <c r="W11" s="4"/>
    </row>
    <row r="12" spans="1:34" ht="18" customHeight="1">
      <c r="A12" s="37">
        <f t="shared" si="12"/>
        <v>9</v>
      </c>
      <c r="B12" s="38" t="s">
        <v>137</v>
      </c>
      <c r="C12" s="23">
        <v>7</v>
      </c>
      <c r="D12" s="34" t="s">
        <v>27</v>
      </c>
      <c r="E12" s="23">
        <v>1</v>
      </c>
      <c r="F12" s="23">
        <v>40</v>
      </c>
      <c r="G12" s="23">
        <v>7</v>
      </c>
      <c r="H12" s="23">
        <f t="shared" si="0"/>
        <v>7</v>
      </c>
      <c r="I12" s="23">
        <v>0.84914529914529913</v>
      </c>
      <c r="J12" s="35">
        <f t="shared" si="1"/>
        <v>42.857142857142854</v>
      </c>
      <c r="K12" s="35">
        <f t="shared" si="2"/>
        <v>51.071428571428569</v>
      </c>
      <c r="L12" s="35">
        <f t="shared" si="3"/>
        <v>4.29</v>
      </c>
      <c r="M12" s="35">
        <f t="shared" si="4"/>
        <v>66.318401166444303</v>
      </c>
      <c r="N12" s="36">
        <f t="shared" si="5"/>
        <v>15.246972595015734</v>
      </c>
      <c r="O12" s="36">
        <f t="shared" si="6"/>
        <v>29.854212074156685</v>
      </c>
      <c r="P12" s="36">
        <f t="shared" si="7"/>
        <v>1.055513986598014E-2</v>
      </c>
      <c r="Q12" s="36">
        <f t="shared" si="8"/>
        <v>1.2985421207415668</v>
      </c>
      <c r="R12" s="36">
        <f t="shared" si="10"/>
        <v>51.071428571428569</v>
      </c>
      <c r="S12" s="36">
        <f t="shared" si="11"/>
        <v>23.809523809523807</v>
      </c>
      <c r="T12" s="4"/>
      <c r="U12" s="4"/>
      <c r="V12" s="4"/>
      <c r="W12" s="4"/>
    </row>
    <row r="13" spans="1:34" ht="18" customHeight="1">
      <c r="A13" s="37">
        <f t="shared" si="12"/>
        <v>10</v>
      </c>
      <c r="B13" s="38" t="s">
        <v>138</v>
      </c>
      <c r="C13" s="23">
        <v>20</v>
      </c>
      <c r="D13" s="34" t="s">
        <v>9</v>
      </c>
      <c r="E13" s="23">
        <v>1</v>
      </c>
      <c r="F13" s="23">
        <v>20</v>
      </c>
      <c r="G13" s="23">
        <v>1.3</v>
      </c>
      <c r="H13" s="23">
        <f t="shared" si="0"/>
        <v>1.3</v>
      </c>
      <c r="I13" s="23">
        <v>0.1</v>
      </c>
      <c r="J13" s="35">
        <f t="shared" si="1"/>
        <v>15</v>
      </c>
      <c r="K13" s="35">
        <f t="shared" si="2"/>
        <v>23.875</v>
      </c>
      <c r="L13" s="35">
        <f t="shared" si="3"/>
        <v>5.7299999999999995</v>
      </c>
      <c r="M13" s="35">
        <f t="shared" si="4"/>
        <v>28.902727402085294</v>
      </c>
      <c r="N13" s="36">
        <f t="shared" si="5"/>
        <v>5.0277274020852936</v>
      </c>
      <c r="O13" s="36">
        <f t="shared" si="6"/>
        <v>21.058544092503848</v>
      </c>
      <c r="P13" s="36">
        <f t="shared" si="7"/>
        <v>4.4978454175442512E-3</v>
      </c>
      <c r="Q13" s="36">
        <f t="shared" si="8"/>
        <v>1.2105854409250385</v>
      </c>
      <c r="R13" s="36">
        <f t="shared" si="10"/>
        <v>23.875</v>
      </c>
      <c r="S13" s="36">
        <f t="shared" si="11"/>
        <v>8.3333333333333339</v>
      </c>
      <c r="T13" s="4"/>
      <c r="U13" s="4"/>
      <c r="V13" s="4"/>
      <c r="W13" s="4"/>
    </row>
    <row r="14" spans="1:34" ht="18" customHeight="1">
      <c r="A14" s="37">
        <f t="shared" si="12"/>
        <v>11</v>
      </c>
      <c r="B14" s="38" t="s">
        <v>139</v>
      </c>
      <c r="C14" s="23">
        <v>20</v>
      </c>
      <c r="D14" s="34" t="s">
        <v>9</v>
      </c>
      <c r="E14" s="23">
        <v>1</v>
      </c>
      <c r="F14" s="23">
        <v>35</v>
      </c>
      <c r="G14" s="23">
        <v>1.3</v>
      </c>
      <c r="H14" s="23">
        <f t="shared" si="0"/>
        <v>1.3</v>
      </c>
      <c r="I14" s="23">
        <v>0.1</v>
      </c>
      <c r="J14" s="35">
        <f t="shared" si="1"/>
        <v>15</v>
      </c>
      <c r="K14" s="35">
        <f t="shared" si="2"/>
        <v>38.875</v>
      </c>
      <c r="L14" s="35">
        <f t="shared" si="3"/>
        <v>9.33</v>
      </c>
      <c r="M14" s="35">
        <f t="shared" si="4"/>
        <v>43.541402990314573</v>
      </c>
      <c r="N14" s="36">
        <f t="shared" si="5"/>
        <v>4.6664029903145732</v>
      </c>
      <c r="O14" s="36">
        <f t="shared" si="6"/>
        <v>12.003608978301154</v>
      </c>
      <c r="P14" s="36">
        <f t="shared" si="7"/>
        <v>2.9856640133740621E-3</v>
      </c>
      <c r="Q14" s="36">
        <f t="shared" si="8"/>
        <v>1.1200360897830115</v>
      </c>
      <c r="R14" s="36">
        <f t="shared" si="10"/>
        <v>38.875</v>
      </c>
      <c r="S14" s="36">
        <f t="shared" si="11"/>
        <v>8.3333333333333339</v>
      </c>
      <c r="T14" s="4"/>
      <c r="U14" s="4"/>
      <c r="V14" s="4"/>
      <c r="W14" s="4"/>
    </row>
    <row r="15" spans="1:34" ht="18" customHeight="1">
      <c r="A15" s="37">
        <f t="shared" si="12"/>
        <v>12</v>
      </c>
      <c r="B15" s="38" t="s">
        <v>140</v>
      </c>
      <c r="C15" s="23">
        <v>20</v>
      </c>
      <c r="D15" s="34" t="s">
        <v>56</v>
      </c>
      <c r="E15" s="23">
        <v>8</v>
      </c>
      <c r="F15" s="23">
        <v>35</v>
      </c>
      <c r="G15" s="23">
        <v>1</v>
      </c>
      <c r="H15" s="23">
        <f t="shared" si="0"/>
        <v>8</v>
      </c>
      <c r="I15" s="23">
        <v>7.5999999999999998E-2</v>
      </c>
      <c r="J15" s="35">
        <f t="shared" si="1"/>
        <v>15</v>
      </c>
      <c r="K15" s="35">
        <f t="shared" si="2"/>
        <v>38.875</v>
      </c>
      <c r="L15" s="35">
        <f t="shared" si="3"/>
        <v>9.33</v>
      </c>
      <c r="M15" s="35">
        <f t="shared" si="4"/>
        <v>39.402906029331888</v>
      </c>
      <c r="N15" s="36">
        <f t="shared" si="5"/>
        <v>0.52790602933188779</v>
      </c>
      <c r="O15" s="36">
        <f t="shared" si="6"/>
        <v>1.3579576317218978</v>
      </c>
      <c r="P15" s="36">
        <f t="shared" si="7"/>
        <v>2.0303071032488636E-2</v>
      </c>
      <c r="Q15" s="36">
        <f t="shared" si="8"/>
        <v>1.0135795763172191</v>
      </c>
      <c r="R15" s="36">
        <f t="shared" si="10"/>
        <v>38.875</v>
      </c>
      <c r="S15" s="36">
        <f t="shared" si="11"/>
        <v>1.0416666666666667</v>
      </c>
      <c r="T15" s="4"/>
      <c r="U15" s="4"/>
      <c r="V15" s="4"/>
      <c r="W15" s="4"/>
    </row>
    <row r="16" spans="1:34" ht="18" customHeight="1">
      <c r="A16" s="37">
        <f t="shared" si="12"/>
        <v>13</v>
      </c>
      <c r="B16" s="38" t="s">
        <v>141</v>
      </c>
      <c r="C16" s="23">
        <v>20</v>
      </c>
      <c r="D16" s="34" t="s">
        <v>56</v>
      </c>
      <c r="E16" s="23">
        <v>8</v>
      </c>
      <c r="F16" s="23">
        <v>25</v>
      </c>
      <c r="G16" s="23">
        <v>1</v>
      </c>
      <c r="H16" s="23">
        <f t="shared" si="0"/>
        <v>8</v>
      </c>
      <c r="I16" s="23">
        <v>7.5999999999999998E-2</v>
      </c>
      <c r="J16" s="35">
        <f t="shared" si="1"/>
        <v>15</v>
      </c>
      <c r="K16" s="35">
        <f t="shared" si="2"/>
        <v>28.875</v>
      </c>
      <c r="L16" s="35">
        <f t="shared" si="3"/>
        <v>6.9300000000000006</v>
      </c>
      <c r="M16" s="35">
        <f t="shared" si="4"/>
        <v>29.405400440852315</v>
      </c>
      <c r="N16" s="36">
        <f t="shared" si="5"/>
        <v>0.53040044085231486</v>
      </c>
      <c r="O16" s="36">
        <f t="shared" si="6"/>
        <v>1.8368846436443806</v>
      </c>
      <c r="P16" s="36">
        <f t="shared" si="7"/>
        <v>2.7205886946146687E-2</v>
      </c>
      <c r="Q16" s="36">
        <f t="shared" si="8"/>
        <v>1.0183688464364438</v>
      </c>
      <c r="R16" s="36">
        <f t="shared" si="10"/>
        <v>28.875</v>
      </c>
      <c r="S16" s="36">
        <f t="shared" si="11"/>
        <v>1.0416666666666667</v>
      </c>
      <c r="T16" s="4"/>
      <c r="U16" s="4"/>
      <c r="V16" s="4"/>
      <c r="W16" s="4"/>
    </row>
    <row r="17" spans="1:24" ht="18" customHeight="1">
      <c r="A17" s="37">
        <f t="shared" si="12"/>
        <v>14</v>
      </c>
      <c r="B17" s="38" t="s">
        <v>142</v>
      </c>
      <c r="C17" s="23">
        <v>50</v>
      </c>
      <c r="D17" s="34" t="s">
        <v>9</v>
      </c>
      <c r="E17" s="23">
        <v>2</v>
      </c>
      <c r="F17" s="23">
        <v>45</v>
      </c>
      <c r="G17" s="23">
        <v>1.3</v>
      </c>
      <c r="H17" s="23">
        <f t="shared" si="0"/>
        <v>2.6</v>
      </c>
      <c r="I17" s="23">
        <v>0.1</v>
      </c>
      <c r="J17" s="35">
        <f t="shared" si="1"/>
        <v>6</v>
      </c>
      <c r="K17" s="35">
        <f t="shared" si="2"/>
        <v>46.55</v>
      </c>
      <c r="L17" s="35">
        <f t="shared" si="3"/>
        <v>27.93</v>
      </c>
      <c r="M17" s="35">
        <f t="shared" si="4"/>
        <v>47.398523514400289</v>
      </c>
      <c r="N17" s="36">
        <f t="shared" si="5"/>
        <v>0.84852351440029139</v>
      </c>
      <c r="O17" s="36">
        <f t="shared" si="6"/>
        <v>1.8228217280349976</v>
      </c>
      <c r="P17" s="36">
        <f t="shared" si="7"/>
        <v>5.4854029349882304E-3</v>
      </c>
      <c r="Q17" s="36">
        <f t="shared" si="8"/>
        <v>1.0182282172803501</v>
      </c>
      <c r="R17" s="36">
        <f t="shared" si="10"/>
        <v>46.55</v>
      </c>
      <c r="S17" s="36">
        <f t="shared" si="11"/>
        <v>1.6666666666666665</v>
      </c>
      <c r="T17" s="4"/>
      <c r="U17" s="4"/>
      <c r="V17" s="4"/>
      <c r="W17" s="4"/>
    </row>
    <row r="18" spans="1:24" ht="18" customHeight="1">
      <c r="A18" s="37">
        <f t="shared" si="12"/>
        <v>15</v>
      </c>
      <c r="B18" s="38" t="s">
        <v>143</v>
      </c>
      <c r="C18" s="23">
        <v>35</v>
      </c>
      <c r="D18" s="34" t="s">
        <v>9</v>
      </c>
      <c r="E18" s="23">
        <v>4</v>
      </c>
      <c r="F18" s="23">
        <v>20</v>
      </c>
      <c r="G18" s="23">
        <v>1.3</v>
      </c>
      <c r="H18" s="23">
        <f t="shared" si="0"/>
        <v>5.2</v>
      </c>
      <c r="I18" s="23">
        <v>0.1</v>
      </c>
      <c r="J18" s="35">
        <f t="shared" si="1"/>
        <v>8.5714285714285712</v>
      </c>
      <c r="K18" s="35">
        <f t="shared" si="2"/>
        <v>22.214285714285715</v>
      </c>
      <c r="L18" s="35">
        <f t="shared" si="3"/>
        <v>9.33</v>
      </c>
      <c r="M18" s="35">
        <f t="shared" si="4"/>
        <v>22.825912523599751</v>
      </c>
      <c r="N18" s="36">
        <f t="shared" si="5"/>
        <v>0.61162680931403557</v>
      </c>
      <c r="O18" s="36">
        <f t="shared" si="6"/>
        <v>2.7533039647577162</v>
      </c>
      <c r="P18" s="36">
        <f t="shared" si="7"/>
        <v>2.2781126470294281E-2</v>
      </c>
      <c r="Q18" s="36">
        <f t="shared" si="8"/>
        <v>1.0275330396475773</v>
      </c>
      <c r="R18" s="36">
        <f t="shared" si="10"/>
        <v>22.214285714285715</v>
      </c>
      <c r="S18" s="36">
        <f t="shared" si="11"/>
        <v>1.1904761904761905</v>
      </c>
      <c r="T18" s="4"/>
      <c r="U18" s="4"/>
      <c r="V18" s="4"/>
      <c r="W18" s="4"/>
    </row>
    <row r="19" spans="1:24" ht="18" customHeight="1">
      <c r="A19" s="37">
        <f t="shared" si="12"/>
        <v>16</v>
      </c>
      <c r="B19" s="38" t="s">
        <v>144</v>
      </c>
      <c r="C19" s="23">
        <v>150</v>
      </c>
      <c r="D19" s="34" t="s">
        <v>9</v>
      </c>
      <c r="E19" s="23">
        <v>1</v>
      </c>
      <c r="F19" s="23">
        <v>25</v>
      </c>
      <c r="G19" s="23">
        <v>1.3</v>
      </c>
      <c r="H19" s="23">
        <f t="shared" si="0"/>
        <v>1.3</v>
      </c>
      <c r="I19" s="23">
        <v>8.8333333333333333E-2</v>
      </c>
      <c r="J19" s="35">
        <f t="shared" si="1"/>
        <v>2</v>
      </c>
      <c r="K19" s="35">
        <f t="shared" si="2"/>
        <v>25.516666666666666</v>
      </c>
      <c r="L19" s="35">
        <f t="shared" si="3"/>
        <v>45.93</v>
      </c>
      <c r="M19" s="35">
        <f t="shared" si="4"/>
        <v>26.084587135544179</v>
      </c>
      <c r="N19" s="36">
        <f t="shared" si="5"/>
        <v>0.56792046887751368</v>
      </c>
      <c r="O19" s="36">
        <f t="shared" si="6"/>
        <v>2.2256843979523726</v>
      </c>
      <c r="P19" s="36">
        <f t="shared" si="7"/>
        <v>4.9837859930263349E-3</v>
      </c>
      <c r="Q19" s="36">
        <f t="shared" si="8"/>
        <v>1.0222568439795237</v>
      </c>
      <c r="R19" s="36">
        <f t="shared" si="10"/>
        <v>25.516666666666666</v>
      </c>
      <c r="S19" s="36">
        <f t="shared" si="11"/>
        <v>1.1111111111111112</v>
      </c>
      <c r="T19" s="4"/>
      <c r="U19" s="4"/>
      <c r="V19" s="4"/>
      <c r="W19" s="4"/>
    </row>
    <row r="20" spans="1:24" ht="18" customHeight="1">
      <c r="A20" s="37">
        <f t="shared" si="12"/>
        <v>17</v>
      </c>
      <c r="B20" s="38" t="s">
        <v>145</v>
      </c>
      <c r="C20" s="23">
        <v>150</v>
      </c>
      <c r="D20" s="34" t="s">
        <v>9</v>
      </c>
      <c r="E20" s="23">
        <v>0.5</v>
      </c>
      <c r="F20" s="23">
        <v>25</v>
      </c>
      <c r="G20" s="23">
        <v>1.5</v>
      </c>
      <c r="H20" s="23">
        <f t="shared" si="0"/>
        <v>0.75</v>
      </c>
      <c r="I20" s="23">
        <v>7.6068376068376062E-2</v>
      </c>
      <c r="J20" s="35">
        <f t="shared" si="1"/>
        <v>2</v>
      </c>
      <c r="K20" s="35">
        <f t="shared" si="2"/>
        <v>25.516666666666666</v>
      </c>
      <c r="L20" s="35">
        <f t="shared" si="3"/>
        <v>45.93</v>
      </c>
      <c r="M20" s="35">
        <f t="shared" si="4"/>
        <v>26.678363305129285</v>
      </c>
      <c r="N20" s="36">
        <f t="shared" si="5"/>
        <v>1.1616966384626188</v>
      </c>
      <c r="O20" s="36">
        <f t="shared" si="6"/>
        <v>4.5526974727470364</v>
      </c>
      <c r="P20" s="36">
        <f t="shared" si="7"/>
        <v>2.8112669110244939E-3</v>
      </c>
      <c r="Q20" s="36">
        <f t="shared" si="8"/>
        <v>1.0455269747274705</v>
      </c>
      <c r="R20" s="36">
        <f t="shared" si="10"/>
        <v>25.516666666666666</v>
      </c>
      <c r="S20" s="36">
        <f t="shared" si="11"/>
        <v>2.2222222222222223</v>
      </c>
      <c r="T20" s="4"/>
      <c r="U20" s="4"/>
      <c r="V20" s="4"/>
      <c r="W20" s="4"/>
    </row>
    <row r="21" spans="1:24" ht="18" customHeight="1">
      <c r="A21" s="37">
        <f t="shared" si="12"/>
        <v>18</v>
      </c>
      <c r="B21" s="38" t="s">
        <v>146</v>
      </c>
      <c r="C21" s="23">
        <v>7</v>
      </c>
      <c r="D21" s="34" t="s">
        <v>21</v>
      </c>
      <c r="E21" s="23">
        <v>4</v>
      </c>
      <c r="F21" s="23">
        <v>25</v>
      </c>
      <c r="G21" s="23">
        <v>3</v>
      </c>
      <c r="H21" s="23">
        <f t="shared" si="0"/>
        <v>12</v>
      </c>
      <c r="I21" s="23">
        <v>0.44122807017543858</v>
      </c>
      <c r="J21" s="35">
        <f t="shared" si="1"/>
        <v>42.857142857142854</v>
      </c>
      <c r="K21" s="35">
        <f t="shared" si="2"/>
        <v>36.071428571428569</v>
      </c>
      <c r="L21" s="35">
        <f t="shared" si="3"/>
        <v>3.0300000000000002</v>
      </c>
      <c r="M21" s="35">
        <f t="shared" si="4"/>
        <v>39.315242809365898</v>
      </c>
      <c r="N21" s="36">
        <f t="shared" si="5"/>
        <v>3.2438142379373289</v>
      </c>
      <c r="O21" s="36">
        <f t="shared" si="6"/>
        <v>8.9927523427965568</v>
      </c>
      <c r="P21" s="36">
        <f t="shared" si="7"/>
        <v>3.0522512752080205E-2</v>
      </c>
      <c r="Q21" s="36">
        <f t="shared" si="8"/>
        <v>1.0899275234279655</v>
      </c>
      <c r="R21" s="36">
        <f t="shared" si="10"/>
        <v>36.071428571428569</v>
      </c>
      <c r="S21" s="36">
        <f t="shared" si="11"/>
        <v>5.9523809523809517</v>
      </c>
      <c r="T21" s="4"/>
      <c r="U21" s="4"/>
      <c r="V21" s="4"/>
      <c r="W21" s="4"/>
    </row>
    <row r="22" spans="1:24" ht="18" customHeight="1">
      <c r="A22" s="37">
        <f t="shared" si="12"/>
        <v>19</v>
      </c>
      <c r="B22" s="38" t="s">
        <v>147</v>
      </c>
      <c r="C22" s="23">
        <v>40</v>
      </c>
      <c r="D22" s="34" t="s">
        <v>11</v>
      </c>
      <c r="E22" s="23">
        <v>4</v>
      </c>
      <c r="F22" s="23">
        <v>30</v>
      </c>
      <c r="G22" s="23">
        <v>1.8</v>
      </c>
      <c r="H22" s="23">
        <f t="shared" si="0"/>
        <v>7.2</v>
      </c>
      <c r="I22" s="23">
        <v>0.20753968253968255</v>
      </c>
      <c r="J22" s="35">
        <f t="shared" si="1"/>
        <v>7.5</v>
      </c>
      <c r="K22" s="35">
        <f t="shared" si="2"/>
        <v>31.9375</v>
      </c>
      <c r="L22" s="35">
        <f t="shared" si="3"/>
        <v>15.330000000000002</v>
      </c>
      <c r="M22" s="35">
        <f t="shared" si="4"/>
        <v>32.46696783819629</v>
      </c>
      <c r="N22" s="36">
        <f t="shared" si="5"/>
        <v>0.52946783819628962</v>
      </c>
      <c r="O22" s="36">
        <f t="shared" si="6"/>
        <v>1.6578249336870126</v>
      </c>
      <c r="P22" s="36">
        <f t="shared" si="7"/>
        <v>2.2176385660287758E-2</v>
      </c>
      <c r="Q22" s="36">
        <f t="shared" si="8"/>
        <v>1.01657824933687</v>
      </c>
      <c r="R22" s="36">
        <f t="shared" si="10"/>
        <v>31.9375</v>
      </c>
      <c r="S22" s="36">
        <f t="shared" si="11"/>
        <v>1.0416666666666667</v>
      </c>
      <c r="T22" s="4"/>
      <c r="U22" s="4"/>
      <c r="V22" s="4"/>
      <c r="W22" s="4"/>
    </row>
    <row r="23" spans="1:24" ht="18" customHeight="1">
      <c r="A23" s="37">
        <f t="shared" si="12"/>
        <v>20</v>
      </c>
      <c r="B23" s="38" t="s">
        <v>148</v>
      </c>
      <c r="C23" s="23">
        <v>5</v>
      </c>
      <c r="D23" s="34" t="s">
        <v>9</v>
      </c>
      <c r="E23" s="23">
        <v>4</v>
      </c>
      <c r="F23" s="23">
        <v>15</v>
      </c>
      <c r="G23" s="23">
        <v>1.5</v>
      </c>
      <c r="H23" s="23">
        <f t="shared" si="0"/>
        <v>6</v>
      </c>
      <c r="I23" s="23">
        <v>7.6068376068376062E-2</v>
      </c>
      <c r="J23" s="35">
        <f t="shared" si="1"/>
        <v>60</v>
      </c>
      <c r="K23" s="35">
        <f t="shared" si="2"/>
        <v>30.5</v>
      </c>
      <c r="L23" s="35">
        <f t="shared" si="3"/>
        <v>1.8299999999999998</v>
      </c>
      <c r="M23" s="35">
        <f t="shared" si="4"/>
        <v>35.322248566737983</v>
      </c>
      <c r="N23" s="36">
        <f t="shared" si="5"/>
        <v>4.8222485667379829</v>
      </c>
      <c r="O23" s="36">
        <f t="shared" si="6"/>
        <v>15.81065103848519</v>
      </c>
      <c r="P23" s="36">
        <f t="shared" si="7"/>
        <v>1.6986461064797672E-2</v>
      </c>
      <c r="Q23" s="36">
        <f t="shared" si="8"/>
        <v>1.1581065103848518</v>
      </c>
      <c r="R23" s="36">
        <f t="shared" si="10"/>
        <v>30.5</v>
      </c>
      <c r="S23" s="36">
        <f t="shared" si="11"/>
        <v>8.3333333333333339</v>
      </c>
      <c r="T23" s="4"/>
      <c r="U23" s="4"/>
      <c r="V23" s="4"/>
      <c r="W23" s="4"/>
    </row>
    <row r="24" spans="1:24" ht="18" customHeight="1">
      <c r="A24" s="37">
        <f t="shared" si="12"/>
        <v>21</v>
      </c>
      <c r="B24" s="38" t="s">
        <v>149</v>
      </c>
      <c r="C24" s="23">
        <v>120</v>
      </c>
      <c r="D24" s="34" t="s">
        <v>9</v>
      </c>
      <c r="E24" s="23">
        <v>2</v>
      </c>
      <c r="F24" s="23">
        <v>25</v>
      </c>
      <c r="G24" s="23">
        <v>1.3</v>
      </c>
      <c r="H24" s="23">
        <f t="shared" si="0"/>
        <v>2.6</v>
      </c>
      <c r="I24" s="23">
        <v>7.6068376068376062E-2</v>
      </c>
      <c r="J24" s="35">
        <f t="shared" si="1"/>
        <v>2.5</v>
      </c>
      <c r="K24" s="35">
        <f t="shared" si="2"/>
        <v>25.645833333333332</v>
      </c>
      <c r="L24" s="35">
        <f t="shared" si="3"/>
        <v>36.93</v>
      </c>
      <c r="M24" s="35">
        <f t="shared" si="4"/>
        <v>25.997821163875926</v>
      </c>
      <c r="N24" s="36">
        <f t="shared" si="5"/>
        <v>0.35198783054259408</v>
      </c>
      <c r="O24" s="36">
        <f t="shared" si="6"/>
        <v>1.372495196266817</v>
      </c>
      <c r="P24" s="36">
        <f t="shared" si="7"/>
        <v>1.0000838084126489E-2</v>
      </c>
      <c r="Q24" s="36">
        <f t="shared" si="8"/>
        <v>1.0137249519626681</v>
      </c>
      <c r="R24" s="36">
        <f t="shared" si="10"/>
        <v>25.645833333333332</v>
      </c>
      <c r="S24" s="36">
        <f t="shared" si="11"/>
        <v>0.69444444444444442</v>
      </c>
      <c r="T24" s="4"/>
      <c r="U24" s="4"/>
      <c r="V24" s="4"/>
      <c r="W24" s="4"/>
    </row>
    <row r="25" spans="1:24" ht="18" customHeight="1">
      <c r="A25" s="37">
        <f t="shared" si="12"/>
        <v>22</v>
      </c>
      <c r="B25" s="38" t="s">
        <v>150</v>
      </c>
      <c r="C25" s="23">
        <v>30</v>
      </c>
      <c r="D25" s="34" t="s">
        <v>9</v>
      </c>
      <c r="E25" s="23">
        <v>4</v>
      </c>
      <c r="F25" s="23">
        <v>25</v>
      </c>
      <c r="G25" s="23">
        <v>1.3</v>
      </c>
      <c r="H25" s="23">
        <f t="shared" si="0"/>
        <v>5.2</v>
      </c>
      <c r="I25" s="23">
        <v>7.6068376068376062E-2</v>
      </c>
      <c r="J25" s="35">
        <f t="shared" si="1"/>
        <v>10</v>
      </c>
      <c r="K25" s="35">
        <f t="shared" si="2"/>
        <v>27.583333333333332</v>
      </c>
      <c r="L25" s="35">
        <f t="shared" si="3"/>
        <v>9.93</v>
      </c>
      <c r="M25" s="35">
        <f t="shared" si="4"/>
        <v>28.295712809917354</v>
      </c>
      <c r="N25" s="36">
        <f t="shared" si="5"/>
        <v>0.71237947658402234</v>
      </c>
      <c r="O25" s="36">
        <f t="shared" si="6"/>
        <v>2.5826446280991746</v>
      </c>
      <c r="P25" s="36">
        <f t="shared" si="7"/>
        <v>1.8377342302461644E-2</v>
      </c>
      <c r="Q25" s="36">
        <f t="shared" si="8"/>
        <v>1.0258264462809918</v>
      </c>
      <c r="R25" s="36">
        <f t="shared" si="10"/>
        <v>27.583333333333332</v>
      </c>
      <c r="S25" s="36">
        <f t="shared" si="11"/>
        <v>1.3888888888888888</v>
      </c>
      <c r="T25" s="4"/>
      <c r="U25" s="4"/>
      <c r="V25" s="4"/>
      <c r="W25" s="4"/>
    </row>
    <row r="26" spans="1:24" ht="18" customHeight="1">
      <c r="A26" s="37">
        <f t="shared" si="12"/>
        <v>23</v>
      </c>
      <c r="B26" s="38" t="s">
        <v>151</v>
      </c>
      <c r="C26" s="23">
        <v>3</v>
      </c>
      <c r="D26" s="34" t="s">
        <v>56</v>
      </c>
      <c r="E26" s="23">
        <v>8</v>
      </c>
      <c r="F26" s="23">
        <v>15</v>
      </c>
      <c r="G26" s="23">
        <v>1</v>
      </c>
      <c r="H26" s="23">
        <f t="shared" si="0"/>
        <v>8</v>
      </c>
      <c r="I26" s="23">
        <v>7.6068376068376062E-2</v>
      </c>
      <c r="J26" s="35">
        <f t="shared" si="1"/>
        <v>100</v>
      </c>
      <c r="K26" s="35">
        <f t="shared" si="2"/>
        <v>40.833333333333329</v>
      </c>
      <c r="L26" s="35">
        <f t="shared" si="3"/>
        <v>1.4699999999999998</v>
      </c>
      <c r="M26" s="35">
        <f t="shared" si="4"/>
        <v>44.628220391895198</v>
      </c>
      <c r="N26" s="36">
        <f t="shared" si="5"/>
        <v>3.7948870585618693</v>
      </c>
      <c r="O26" s="36">
        <f t="shared" si="6"/>
        <v>9.2936009597433547</v>
      </c>
      <c r="P26" s="36">
        <f t="shared" si="7"/>
        <v>1.7925877235859616E-2</v>
      </c>
      <c r="Q26" s="36">
        <f t="shared" si="8"/>
        <v>1.0929360095974336</v>
      </c>
      <c r="R26" s="36">
        <f t="shared" si="10"/>
        <v>40.833333333333329</v>
      </c>
      <c r="S26" s="36">
        <f t="shared" si="11"/>
        <v>6.9444444444444446</v>
      </c>
      <c r="T26" s="4"/>
      <c r="U26" s="4"/>
      <c r="V26" s="4"/>
      <c r="W26" s="4"/>
    </row>
    <row r="27" spans="1:24" ht="18" customHeight="1">
      <c r="A27" s="37">
        <f t="shared" si="12"/>
        <v>24</v>
      </c>
      <c r="B27" s="38" t="s">
        <v>152</v>
      </c>
      <c r="C27" s="23">
        <v>70</v>
      </c>
      <c r="D27" s="34" t="s">
        <v>21</v>
      </c>
      <c r="E27" s="23">
        <v>1</v>
      </c>
      <c r="F27" s="23">
        <v>30</v>
      </c>
      <c r="G27" s="23">
        <v>2</v>
      </c>
      <c r="H27" s="23">
        <f t="shared" si="0"/>
        <v>2</v>
      </c>
      <c r="I27" s="23">
        <v>0.45769230769230773</v>
      </c>
      <c r="J27" s="35">
        <f t="shared" si="1"/>
        <v>4.2857142857142856</v>
      </c>
      <c r="K27" s="35">
        <f t="shared" si="2"/>
        <v>31.107142857142858</v>
      </c>
      <c r="L27" s="35">
        <f t="shared" si="3"/>
        <v>26.130000000000003</v>
      </c>
      <c r="M27" s="35">
        <f t="shared" si="4"/>
        <v>32.344991757142772</v>
      </c>
      <c r="N27" s="36">
        <f t="shared" si="5"/>
        <v>1.2378488999999142</v>
      </c>
      <c r="O27" s="36">
        <f t="shared" si="6"/>
        <v>3.9793076004589665</v>
      </c>
      <c r="P27" s="36">
        <f t="shared" si="7"/>
        <v>6.183337485495999E-3</v>
      </c>
      <c r="Q27" s="36">
        <f t="shared" si="8"/>
        <v>1.0397930760045897</v>
      </c>
      <c r="R27" s="36">
        <f t="shared" si="10"/>
        <v>31.107142857142858</v>
      </c>
      <c r="S27" s="36">
        <f t="shared" si="11"/>
        <v>2.3809523809523809</v>
      </c>
      <c r="T27" s="4"/>
      <c r="U27" s="4"/>
      <c r="V27" s="4"/>
      <c r="W27" s="4"/>
    </row>
    <row r="28" spans="1:24" ht="18" customHeight="1">
      <c r="A28" s="37">
        <f t="shared" si="12"/>
        <v>25</v>
      </c>
      <c r="B28" s="38" t="s">
        <v>153</v>
      </c>
      <c r="C28" s="23">
        <v>15</v>
      </c>
      <c r="D28" s="34" t="s">
        <v>11</v>
      </c>
      <c r="E28" s="23">
        <v>1</v>
      </c>
      <c r="F28" s="23">
        <v>20</v>
      </c>
      <c r="G28" s="23">
        <v>1.8</v>
      </c>
      <c r="H28" s="23">
        <f t="shared" si="0"/>
        <v>1.8</v>
      </c>
      <c r="I28" s="23">
        <v>0.45769230769230773</v>
      </c>
      <c r="J28" s="35">
        <f t="shared" si="1"/>
        <v>20</v>
      </c>
      <c r="K28" s="35">
        <f t="shared" si="2"/>
        <v>25.166666666666668</v>
      </c>
      <c r="L28" s="35">
        <f t="shared" si="3"/>
        <v>4.53</v>
      </c>
      <c r="M28" s="35">
        <f t="shared" si="4"/>
        <v>32.197701701888143</v>
      </c>
      <c r="N28" s="36">
        <f t="shared" si="5"/>
        <v>7.0310350352214748</v>
      </c>
      <c r="O28" s="36">
        <f t="shared" si="6"/>
        <v>27.937887557171422</v>
      </c>
      <c r="P28" s="36">
        <f t="shared" si="7"/>
        <v>5.5904611349773588E-3</v>
      </c>
      <c r="Q28" s="36">
        <f t="shared" si="8"/>
        <v>1.2793788755717141</v>
      </c>
      <c r="R28" s="36">
        <f t="shared" si="10"/>
        <v>25.166666666666668</v>
      </c>
      <c r="S28" s="36">
        <f t="shared" si="11"/>
        <v>11.111111111111111</v>
      </c>
      <c r="T28" s="4"/>
      <c r="U28" s="4"/>
      <c r="V28" s="4"/>
      <c r="W28" s="4"/>
      <c r="X28" s="6"/>
    </row>
    <row r="29" spans="1:24" ht="18" customHeight="1">
      <c r="A29" s="37">
        <f t="shared" si="12"/>
        <v>26</v>
      </c>
      <c r="B29" s="38" t="s">
        <v>154</v>
      </c>
      <c r="C29" s="23">
        <v>7</v>
      </c>
      <c r="D29" s="34" t="s">
        <v>21</v>
      </c>
      <c r="E29" s="23">
        <v>4</v>
      </c>
      <c r="F29" s="23">
        <v>10</v>
      </c>
      <c r="G29" s="23">
        <v>3.5</v>
      </c>
      <c r="H29" s="23">
        <f t="shared" si="0"/>
        <v>14</v>
      </c>
      <c r="I29" s="23">
        <v>0.45769230769230773</v>
      </c>
      <c r="J29" s="35">
        <f t="shared" si="1"/>
        <v>42.857142857142854</v>
      </c>
      <c r="K29" s="35">
        <f t="shared" si="2"/>
        <v>21.071428571428569</v>
      </c>
      <c r="L29" s="35">
        <f t="shared" si="3"/>
        <v>1.77</v>
      </c>
      <c r="M29" s="35">
        <f t="shared" si="4"/>
        <v>24.533727377101741</v>
      </c>
      <c r="N29" s="36">
        <f t="shared" si="5"/>
        <v>3.4622988056731714</v>
      </c>
      <c r="O29" s="36">
        <f t="shared" si="6"/>
        <v>16.431248569296407</v>
      </c>
      <c r="P29" s="36">
        <f t="shared" si="7"/>
        <v>5.7064300849233099E-2</v>
      </c>
      <c r="Q29" s="36">
        <f t="shared" si="8"/>
        <v>1.1643124856929641</v>
      </c>
      <c r="R29" s="36">
        <f t="shared" si="10"/>
        <v>21.071428571428569</v>
      </c>
      <c r="S29" s="36">
        <f t="shared" si="11"/>
        <v>5.9523809523809517</v>
      </c>
      <c r="T29" s="4"/>
      <c r="U29" s="4"/>
      <c r="V29" s="4"/>
      <c r="W29" s="4"/>
    </row>
    <row r="30" spans="1:24" ht="18" customHeight="1">
      <c r="A30" s="37">
        <f t="shared" si="12"/>
        <v>27</v>
      </c>
      <c r="B30" s="38" t="s">
        <v>155</v>
      </c>
      <c r="C30" s="23">
        <v>150</v>
      </c>
      <c r="D30" s="34" t="s">
        <v>9</v>
      </c>
      <c r="E30" s="23">
        <v>2</v>
      </c>
      <c r="F30" s="23">
        <v>25</v>
      </c>
      <c r="G30" s="23">
        <v>1.3</v>
      </c>
      <c r="H30" s="23">
        <f t="shared" si="0"/>
        <v>2.6</v>
      </c>
      <c r="I30" s="23">
        <v>0.45769230769230773</v>
      </c>
      <c r="J30" s="35">
        <f t="shared" si="1"/>
        <v>2</v>
      </c>
      <c r="K30" s="35">
        <f t="shared" si="2"/>
        <v>25.516666666666666</v>
      </c>
      <c r="L30" s="35">
        <f t="shared" si="3"/>
        <v>45.93</v>
      </c>
      <c r="M30" s="35">
        <f t="shared" si="4"/>
        <v>25.79750165089148</v>
      </c>
      <c r="N30" s="36">
        <f t="shared" si="5"/>
        <v>0.28083498422481412</v>
      </c>
      <c r="O30" s="36">
        <f t="shared" si="6"/>
        <v>1.1005943209333018</v>
      </c>
      <c r="P30" s="36">
        <f t="shared" si="7"/>
        <v>1.0078495333326793E-2</v>
      </c>
      <c r="Q30" s="36">
        <f t="shared" si="8"/>
        <v>1.011005943209333</v>
      </c>
      <c r="R30" s="36">
        <f t="shared" si="10"/>
        <v>25.516666666666666</v>
      </c>
      <c r="S30" s="36">
        <f t="shared" si="11"/>
        <v>0.55555555555555558</v>
      </c>
      <c r="T30" s="4"/>
      <c r="U30" s="4"/>
      <c r="V30" s="4"/>
      <c r="W30" s="4"/>
    </row>
    <row r="31" spans="1:24" ht="18" customHeight="1">
      <c r="A31" s="37">
        <f t="shared" si="12"/>
        <v>28</v>
      </c>
      <c r="B31" s="38" t="s">
        <v>156</v>
      </c>
      <c r="C31" s="23">
        <v>100</v>
      </c>
      <c r="D31" s="34" t="s">
        <v>9</v>
      </c>
      <c r="E31" s="23">
        <v>1</v>
      </c>
      <c r="F31" s="23">
        <v>30</v>
      </c>
      <c r="G31" s="23">
        <v>1.3</v>
      </c>
      <c r="H31" s="23">
        <f t="shared" si="0"/>
        <v>1.3</v>
      </c>
      <c r="I31" s="23">
        <v>0.1</v>
      </c>
      <c r="J31" s="35">
        <f t="shared" si="1"/>
        <v>3</v>
      </c>
      <c r="K31" s="35">
        <f t="shared" si="2"/>
        <v>30.774999999999999</v>
      </c>
      <c r="L31" s="35">
        <f t="shared" si="3"/>
        <v>36.93</v>
      </c>
      <c r="M31" s="35">
        <f t="shared" si="4"/>
        <v>31.631526579460058</v>
      </c>
      <c r="N31" s="36">
        <f t="shared" si="5"/>
        <v>0.85652657946005917</v>
      </c>
      <c r="O31" s="36">
        <f t="shared" si="6"/>
        <v>2.7831895352073412</v>
      </c>
      <c r="P31" s="36">
        <f t="shared" si="7"/>
        <v>4.1098237757647635E-3</v>
      </c>
      <c r="Q31" s="36">
        <f t="shared" si="8"/>
        <v>1.0278318953520733</v>
      </c>
      <c r="R31" s="36">
        <f t="shared" si="10"/>
        <v>30.774999999999999</v>
      </c>
      <c r="S31" s="36">
        <f t="shared" si="11"/>
        <v>1.6666666666666665</v>
      </c>
      <c r="T31" s="4"/>
      <c r="U31" s="4"/>
      <c r="V31" s="4"/>
      <c r="W31" s="4"/>
    </row>
    <row r="32" spans="1:24" ht="18" customHeight="1" thickBot="1">
      <c r="A32" s="39">
        <f t="shared" si="12"/>
        <v>29</v>
      </c>
      <c r="B32" s="40" t="s">
        <v>157</v>
      </c>
      <c r="C32" s="41">
        <v>2</v>
      </c>
      <c r="D32" s="42" t="s">
        <v>21</v>
      </c>
      <c r="E32" s="41">
        <v>4</v>
      </c>
      <c r="F32" s="41">
        <v>10</v>
      </c>
      <c r="G32" s="41">
        <v>2</v>
      </c>
      <c r="H32" s="41">
        <f t="shared" si="0"/>
        <v>8</v>
      </c>
      <c r="I32" s="41">
        <v>0.45800000000000002</v>
      </c>
      <c r="J32" s="43">
        <f t="shared" si="1"/>
        <v>150</v>
      </c>
      <c r="K32" s="43">
        <f t="shared" si="2"/>
        <v>48.75</v>
      </c>
      <c r="L32" s="43">
        <f t="shared" si="3"/>
        <v>1.1700000000000002</v>
      </c>
      <c r="M32" s="43">
        <f t="shared" si="4"/>
        <v>61.841351424276979</v>
      </c>
      <c r="N32" s="44">
        <f t="shared" si="5"/>
        <v>13.091351424276979</v>
      </c>
      <c r="O32" s="44">
        <f t="shared" si="6"/>
        <v>26.854054203645084</v>
      </c>
      <c r="P32" s="44">
        <f t="shared" si="7"/>
        <v>1.2936327903176208E-2</v>
      </c>
      <c r="Q32" s="44">
        <f t="shared" si="8"/>
        <v>1.2685405420364508</v>
      </c>
      <c r="R32" s="44">
        <f t="shared" si="10"/>
        <v>48.75</v>
      </c>
      <c r="S32" s="44">
        <f t="shared" si="11"/>
        <v>20.833333333333332</v>
      </c>
      <c r="T32" s="4"/>
      <c r="U32" s="4"/>
      <c r="V32" s="4"/>
      <c r="W32" s="4"/>
    </row>
    <row r="33" spans="2:2" ht="18" customHeight="1"/>
    <row r="38" spans="2:2">
      <c r="B38" s="50"/>
    </row>
    <row r="39" spans="2:2">
      <c r="B39" s="50"/>
    </row>
    <row r="40" spans="2:2">
      <c r="B40" s="50"/>
    </row>
    <row r="41" spans="2:2">
      <c r="B41" s="50"/>
    </row>
    <row r="42" spans="2:2">
      <c r="B42" s="50"/>
    </row>
    <row r="43" spans="2:2">
      <c r="B43" s="50"/>
    </row>
    <row r="44" spans="2:2">
      <c r="B44" s="50"/>
    </row>
    <row r="45" spans="2:2">
      <c r="B45" s="50"/>
    </row>
    <row r="46" spans="2:2">
      <c r="B46" s="50"/>
    </row>
    <row r="47" spans="2:2">
      <c r="B47" s="50"/>
    </row>
    <row r="48" spans="2:2">
      <c r="B48" s="50"/>
    </row>
    <row r="49" spans="2:2">
      <c r="B49" s="50"/>
    </row>
    <row r="50" spans="2:2">
      <c r="B50" s="50"/>
    </row>
    <row r="51" spans="2:2">
      <c r="B51" s="50"/>
    </row>
    <row r="52" spans="2:2">
      <c r="B52" s="50"/>
    </row>
    <row r="53" spans="2:2">
      <c r="B53" s="50"/>
    </row>
    <row r="54" spans="2:2">
      <c r="B54" s="50"/>
    </row>
    <row r="55" spans="2:2">
      <c r="B55" s="50"/>
    </row>
    <row r="56" spans="2:2">
      <c r="B56" s="50"/>
    </row>
    <row r="57" spans="2:2">
      <c r="B57" s="50"/>
    </row>
    <row r="58" spans="2:2">
      <c r="B58" s="50"/>
    </row>
    <row r="59" spans="2:2">
      <c r="B59" s="50"/>
    </row>
    <row r="60" spans="2:2">
      <c r="B60" s="50"/>
    </row>
    <row r="61" spans="2:2">
      <c r="B61" s="50"/>
    </row>
    <row r="62" spans="2:2">
      <c r="B62" s="50"/>
    </row>
    <row r="63" spans="2:2">
      <c r="B63" s="50"/>
    </row>
    <row r="64" spans="2:2">
      <c r="B64" s="50"/>
    </row>
    <row r="65" spans="2:17">
      <c r="B65" s="50"/>
    </row>
    <row r="66" spans="2:17">
      <c r="B66" s="50"/>
    </row>
    <row r="68" spans="2:17">
      <c r="J68" s="22"/>
      <c r="K68" s="22"/>
      <c r="L68" s="22"/>
      <c r="M68" s="22"/>
      <c r="N68" s="22"/>
      <c r="O68" s="22"/>
      <c r="P68" s="22"/>
      <c r="Q68" s="22"/>
    </row>
    <row r="69" spans="2:17">
      <c r="J69" s="22"/>
      <c r="K69" s="22"/>
      <c r="L69" s="22"/>
      <c r="M69" s="22"/>
      <c r="N69" s="22"/>
      <c r="O69" s="22"/>
      <c r="P69" s="22"/>
      <c r="Q69" s="22"/>
    </row>
    <row r="70" spans="2:17">
      <c r="J70" s="22"/>
      <c r="K70" s="22"/>
      <c r="L70" s="22"/>
      <c r="M70" s="22"/>
      <c r="N70" s="22"/>
      <c r="O70" s="22"/>
      <c r="P70" s="22"/>
      <c r="Q70" s="22"/>
    </row>
    <row r="71" spans="2:17">
      <c r="J71" s="22"/>
      <c r="K71" s="22"/>
      <c r="L71" s="22"/>
      <c r="M71" s="22"/>
      <c r="N71" s="22"/>
      <c r="O71" s="22"/>
      <c r="P71" s="22"/>
      <c r="Q71" s="22"/>
    </row>
    <row r="72" spans="2:17">
      <c r="J72" s="22"/>
      <c r="K72" s="22"/>
      <c r="L72" s="22"/>
      <c r="M72" s="22"/>
      <c r="N72" s="22"/>
      <c r="O72" s="22"/>
      <c r="P72" s="22"/>
      <c r="Q72" s="22"/>
    </row>
    <row r="73" spans="2:17">
      <c r="J73" s="22"/>
      <c r="K73" s="22"/>
      <c r="L73" s="22"/>
      <c r="M73" s="22"/>
      <c r="N73" s="22"/>
      <c r="O73" s="22"/>
      <c r="P73" s="22"/>
      <c r="Q73" s="22"/>
    </row>
    <row r="74" spans="2:17">
      <c r="J74" s="22"/>
      <c r="K74" s="22"/>
      <c r="L74" s="22"/>
      <c r="M74" s="22"/>
      <c r="N74" s="22"/>
      <c r="O74" s="22"/>
      <c r="P74" s="22"/>
      <c r="Q74" s="22"/>
    </row>
    <row r="75" spans="2:17">
      <c r="J75" s="22"/>
      <c r="K75" s="22"/>
      <c r="L75" s="22"/>
      <c r="M75" s="22"/>
      <c r="N75" s="22"/>
      <c r="O75" s="22"/>
      <c r="P75" s="22"/>
      <c r="Q75" s="22"/>
    </row>
    <row r="76" spans="2:17">
      <c r="J76" s="22"/>
      <c r="K76" s="22"/>
      <c r="L76" s="22"/>
      <c r="M76" s="22"/>
      <c r="N76" s="22"/>
      <c r="O76" s="22"/>
      <c r="P76" s="22"/>
      <c r="Q76" s="22"/>
    </row>
    <row r="77" spans="2:17">
      <c r="J77" s="22"/>
      <c r="K77" s="22"/>
      <c r="L77" s="22"/>
      <c r="M77" s="22"/>
      <c r="N77" s="22"/>
      <c r="O77" s="22"/>
      <c r="P77" s="22"/>
      <c r="Q77" s="22"/>
    </row>
    <row r="78" spans="2:17">
      <c r="J78" s="22"/>
      <c r="K78" s="22"/>
      <c r="L78" s="22"/>
      <c r="M78" s="22"/>
      <c r="N78" s="22"/>
      <c r="O78" s="22"/>
      <c r="P78" s="22"/>
      <c r="Q78" s="22"/>
    </row>
    <row r="79" spans="2:17">
      <c r="J79" s="22"/>
      <c r="K79" s="22"/>
      <c r="L79" s="22"/>
      <c r="M79" s="22"/>
      <c r="N79" s="22"/>
      <c r="O79" s="22"/>
      <c r="P79" s="22"/>
      <c r="Q79" s="22"/>
    </row>
    <row r="80" spans="2:17">
      <c r="J80" s="22"/>
      <c r="K80" s="22"/>
      <c r="L80" s="22"/>
      <c r="M80" s="22"/>
      <c r="N80" s="22"/>
      <c r="O80" s="22"/>
      <c r="P80" s="22"/>
      <c r="Q80" s="22"/>
    </row>
    <row r="81" spans="10:17">
      <c r="J81" s="22"/>
      <c r="K81" s="22"/>
      <c r="L81" s="22"/>
      <c r="M81" s="22"/>
      <c r="N81" s="22"/>
      <c r="O81" s="22"/>
      <c r="P81" s="22"/>
      <c r="Q81" s="22"/>
    </row>
    <row r="82" spans="10:17">
      <c r="J82" s="22"/>
      <c r="K82" s="22"/>
      <c r="L82" s="22"/>
      <c r="M82" s="22"/>
      <c r="N82" s="22"/>
      <c r="O82" s="22"/>
      <c r="P82" s="22"/>
      <c r="Q82" s="22"/>
    </row>
    <row r="83" spans="10:17">
      <c r="J83" s="22"/>
      <c r="K83" s="22"/>
      <c r="L83" s="22"/>
      <c r="M83" s="22"/>
      <c r="N83" s="22"/>
      <c r="O83" s="22"/>
      <c r="P83" s="22"/>
      <c r="Q83" s="22"/>
    </row>
    <row r="84" spans="10:17">
      <c r="J84" s="22"/>
      <c r="K84" s="22"/>
      <c r="L84" s="22"/>
      <c r="M84" s="22"/>
      <c r="N84" s="22"/>
      <c r="O84" s="22"/>
      <c r="P84" s="22"/>
      <c r="Q84" s="22"/>
    </row>
    <row r="85" spans="10:17">
      <c r="J85" s="22"/>
      <c r="K85" s="22"/>
      <c r="L85" s="22"/>
      <c r="M85" s="22"/>
      <c r="N85" s="22"/>
      <c r="O85" s="22"/>
      <c r="P85" s="22"/>
      <c r="Q85" s="22"/>
    </row>
    <row r="86" spans="10:17">
      <c r="J86" s="22"/>
      <c r="K86" s="22"/>
      <c r="L86" s="22"/>
      <c r="M86" s="22"/>
      <c r="N86" s="22"/>
      <c r="O86" s="22"/>
      <c r="P86" s="22"/>
      <c r="Q86" s="22"/>
    </row>
    <row r="87" spans="10:17">
      <c r="J87" s="22"/>
      <c r="K87" s="22"/>
      <c r="L87" s="22"/>
      <c r="M87" s="22"/>
      <c r="N87" s="22"/>
      <c r="O87" s="22"/>
      <c r="P87" s="22"/>
      <c r="Q87" s="22"/>
    </row>
    <row r="88" spans="10:17">
      <c r="J88" s="22"/>
      <c r="K88" s="22"/>
      <c r="L88" s="22"/>
      <c r="M88" s="22"/>
      <c r="N88" s="22"/>
      <c r="O88" s="22"/>
      <c r="P88" s="22"/>
      <c r="Q88" s="22"/>
    </row>
    <row r="89" spans="10:17">
      <c r="J89" s="22"/>
      <c r="K89" s="22"/>
      <c r="L89" s="22"/>
      <c r="M89" s="22"/>
      <c r="N89" s="22"/>
      <c r="O89" s="22"/>
      <c r="P89" s="22"/>
      <c r="Q89" s="22"/>
    </row>
    <row r="90" spans="10:17">
      <c r="J90" s="22"/>
      <c r="K90" s="22"/>
      <c r="L90" s="22"/>
      <c r="M90" s="22"/>
      <c r="N90" s="22"/>
      <c r="O90" s="22"/>
      <c r="P90" s="22"/>
      <c r="Q90" s="22"/>
    </row>
    <row r="91" spans="10:17">
      <c r="J91" s="22"/>
      <c r="K91" s="22"/>
      <c r="L91" s="22"/>
      <c r="M91" s="22"/>
      <c r="N91" s="22"/>
      <c r="O91" s="22"/>
      <c r="P91" s="22"/>
      <c r="Q91" s="22"/>
    </row>
    <row r="92" spans="10:17">
      <c r="J92" s="22"/>
      <c r="K92" s="22"/>
      <c r="L92" s="22"/>
      <c r="M92" s="22"/>
      <c r="N92" s="22"/>
      <c r="O92" s="22"/>
      <c r="P92" s="22"/>
      <c r="Q92" s="22"/>
    </row>
    <row r="93" spans="10:17">
      <c r="J93" s="22"/>
      <c r="K93" s="22"/>
      <c r="L93" s="22"/>
      <c r="M93" s="22"/>
      <c r="N93" s="22"/>
      <c r="O93" s="22"/>
      <c r="P93" s="22"/>
      <c r="Q93" s="22"/>
    </row>
    <row r="94" spans="10:17">
      <c r="J94" s="22"/>
      <c r="K94" s="22"/>
      <c r="L94" s="22"/>
      <c r="M94" s="22"/>
      <c r="N94" s="22"/>
      <c r="O94" s="22"/>
      <c r="P94" s="22"/>
      <c r="Q94" s="22"/>
    </row>
    <row r="95" spans="10:17">
      <c r="J95" s="22"/>
      <c r="K95" s="22"/>
      <c r="L95" s="22"/>
      <c r="M95" s="22"/>
      <c r="N95" s="22"/>
      <c r="O95" s="22"/>
      <c r="P95" s="22"/>
      <c r="Q95" s="22"/>
    </row>
    <row r="96" spans="10:17">
      <c r="J96" s="22"/>
      <c r="K96" s="22"/>
      <c r="L96" s="22"/>
      <c r="M96" s="22"/>
      <c r="N96" s="22"/>
      <c r="O96" s="22"/>
      <c r="P96" s="22"/>
      <c r="Q96" s="22"/>
    </row>
  </sheetData>
  <mergeCells count="3">
    <mergeCell ref="D2:E2"/>
    <mergeCell ref="G2:H2"/>
    <mergeCell ref="A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0F758-A626-4ECB-AAE2-60B3A3A47FCA}">
  <sheetPr codeName="Sheet4"/>
  <dimension ref="A1:Y87"/>
  <sheetViews>
    <sheetView zoomScale="70" zoomScaleNormal="70" workbookViewId="0">
      <selection activeCell="I29" sqref="I29"/>
    </sheetView>
  </sheetViews>
  <sheetFormatPr defaultColWidth="9.140625" defaultRowHeight="15"/>
  <cols>
    <col min="1" max="1" width="18.7109375" style="54" customWidth="1"/>
    <col min="2" max="2" width="35.7109375" style="54" customWidth="1"/>
    <col min="3" max="3" width="18.7109375" style="54" customWidth="1"/>
    <col min="4" max="4" width="25.7109375" style="54" customWidth="1"/>
    <col min="5" max="6" width="18.7109375" style="54" customWidth="1"/>
    <col min="7" max="8" width="22.7109375" style="54" customWidth="1"/>
    <col min="9" max="18" width="18.7109375" style="54" customWidth="1"/>
    <col min="19" max="25" width="18.7109375" style="3" customWidth="1"/>
    <col min="26" max="16384" width="9.140625" style="3"/>
  </cols>
  <sheetData>
    <row r="1" spans="1:25" ht="35.1" customHeight="1">
      <c r="A1" s="99" t="s">
        <v>176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</row>
    <row r="2" spans="1:25" s="57" customFormat="1" ht="20.100000000000001" customHeight="1">
      <c r="A2" s="56"/>
      <c r="B2" s="56"/>
      <c r="C2" s="56"/>
      <c r="D2" s="96" t="s">
        <v>168</v>
      </c>
      <c r="E2" s="96"/>
      <c r="F2" s="56">
        <v>0.1</v>
      </c>
      <c r="G2" s="97" t="s">
        <v>175</v>
      </c>
      <c r="H2" s="97"/>
      <c r="I2" s="56">
        <v>0.93</v>
      </c>
      <c r="J2" s="56"/>
      <c r="K2" s="56"/>
      <c r="L2" s="56"/>
      <c r="M2" s="56"/>
      <c r="N2" s="56"/>
      <c r="O2" s="56"/>
      <c r="P2" s="56"/>
      <c r="Q2" s="56"/>
      <c r="R2" s="56"/>
    </row>
    <row r="3" spans="1:25" s="57" customFormat="1" ht="50.1" customHeight="1" thickBot="1">
      <c r="A3" s="92" t="s">
        <v>63</v>
      </c>
      <c r="B3" s="93" t="s">
        <v>3</v>
      </c>
      <c r="C3" s="94" t="s">
        <v>4</v>
      </c>
      <c r="D3" s="94" t="s">
        <v>5</v>
      </c>
      <c r="E3" s="94" t="s">
        <v>6</v>
      </c>
      <c r="F3" s="94" t="s">
        <v>64</v>
      </c>
      <c r="G3" s="94" t="s">
        <v>7</v>
      </c>
      <c r="H3" s="94" t="s">
        <v>65</v>
      </c>
      <c r="I3" s="32" t="s">
        <v>171</v>
      </c>
      <c r="J3" s="94" t="s">
        <v>66</v>
      </c>
      <c r="K3" s="98" t="s">
        <v>125</v>
      </c>
      <c r="L3" s="98" t="s">
        <v>162</v>
      </c>
      <c r="M3" s="98" t="s">
        <v>68</v>
      </c>
      <c r="N3" s="94" t="s">
        <v>172</v>
      </c>
      <c r="O3" s="94" t="s">
        <v>69</v>
      </c>
      <c r="P3" s="94" t="s">
        <v>70</v>
      </c>
      <c r="Q3" s="94" t="s">
        <v>71</v>
      </c>
      <c r="R3" s="94" t="s">
        <v>124</v>
      </c>
      <c r="S3" s="95" t="s">
        <v>8</v>
      </c>
      <c r="T3" s="95" t="s">
        <v>158</v>
      </c>
      <c r="U3" s="95" t="s">
        <v>159</v>
      </c>
      <c r="V3" s="95" t="s">
        <v>160</v>
      </c>
      <c r="W3" s="95" t="s">
        <v>161</v>
      </c>
      <c r="X3" s="95" t="s">
        <v>163</v>
      </c>
      <c r="Y3" s="95" t="s">
        <v>164</v>
      </c>
    </row>
    <row r="4" spans="1:25" s="57" customFormat="1" ht="18" customHeight="1" thickTop="1">
      <c r="A4" s="71">
        <v>1</v>
      </c>
      <c r="B4" s="72" t="s">
        <v>72</v>
      </c>
      <c r="C4" s="58">
        <v>150</v>
      </c>
      <c r="D4" s="56" t="s">
        <v>9</v>
      </c>
      <c r="E4" s="60">
        <v>0.1</v>
      </c>
      <c r="F4" s="63">
        <v>2.7</v>
      </c>
      <c r="G4" s="60">
        <v>1.5</v>
      </c>
      <c r="H4" s="60">
        <f t="shared" ref="H4:H10" si="0">E4*G4</f>
        <v>0.15000000000000002</v>
      </c>
      <c r="I4" s="64">
        <v>7.6068376068376103E-2</v>
      </c>
      <c r="J4" s="64">
        <f t="shared" ref="J4:J10" si="1">100/C4*3</f>
        <v>2</v>
      </c>
      <c r="K4" s="64">
        <f t="shared" ref="K4:K10" si="2">F4+$I$2*J4/3.6</f>
        <v>3.2166666666666668</v>
      </c>
      <c r="L4" s="65">
        <f t="shared" ref="L4:L10" si="3">K4*3.6/J4</f>
        <v>5.79</v>
      </c>
      <c r="M4" s="64">
        <f t="shared" ref="M4:M10" si="4">K4/(1+(EXP(-L4*E4)-1)/L4/E4)</f>
        <v>13.35486470435122</v>
      </c>
      <c r="N4" s="64">
        <f t="shared" ref="N4:N10" si="5">M4-K4</f>
        <v>10.138198037684553</v>
      </c>
      <c r="O4" s="64">
        <f t="shared" ref="O4:O10" si="6">N4/K4*100</f>
        <v>315.17714106791357</v>
      </c>
      <c r="P4" s="64">
        <f t="shared" ref="P4:P10" si="7">$F$2*H4/M4</f>
        <v>1.1231862195588379E-3</v>
      </c>
      <c r="Q4" s="64">
        <f t="shared" ref="Q4:Q10" si="8">M4/K4</f>
        <v>4.1517714106791352</v>
      </c>
      <c r="R4" s="64">
        <f t="shared" ref="R4:R10" si="9">K4</f>
        <v>3.2166666666666668</v>
      </c>
      <c r="S4" s="70">
        <f t="shared" ref="S4:S10" si="10">2*J4/3.6/E4</f>
        <v>11.111111111111111</v>
      </c>
      <c r="T4" s="66">
        <f>0.1*E4*G4/0.02</f>
        <v>0.75000000000000011</v>
      </c>
      <c r="U4" s="67">
        <v>1</v>
      </c>
      <c r="V4" s="68">
        <v>2</v>
      </c>
      <c r="W4" s="66">
        <f>T4^1.25-(2*V4/3.6/E4)^1.25-(F4+$I$2*V4/3.6)^1.25</f>
        <v>-23.895887252410716</v>
      </c>
      <c r="X4" s="66">
        <f>2*V4/3.6/E4</f>
        <v>11.111111111111111</v>
      </c>
      <c r="Y4" s="66">
        <f>F4+$I$2*V4/3.6</f>
        <v>3.2166666666666668</v>
      </c>
    </row>
    <row r="5" spans="1:25" s="57" customFormat="1" ht="18" customHeight="1">
      <c r="A5" s="71">
        <f t="shared" ref="A5:A10" si="11">A4+1</f>
        <v>2</v>
      </c>
      <c r="B5" s="72" t="s">
        <v>73</v>
      </c>
      <c r="C5" s="58">
        <v>60</v>
      </c>
      <c r="D5" s="56" t="s">
        <v>9</v>
      </c>
      <c r="E5" s="60">
        <v>0.1</v>
      </c>
      <c r="F5" s="63">
        <v>3</v>
      </c>
      <c r="G5" s="60">
        <v>1.5</v>
      </c>
      <c r="H5" s="60">
        <f t="shared" si="0"/>
        <v>0.15000000000000002</v>
      </c>
      <c r="I5" s="64">
        <v>7.6068376068376062E-2</v>
      </c>
      <c r="J5" s="64">
        <f t="shared" si="1"/>
        <v>5</v>
      </c>
      <c r="K5" s="64">
        <f t="shared" si="2"/>
        <v>4.291666666666667</v>
      </c>
      <c r="L5" s="65">
        <f t="shared" si="3"/>
        <v>3.0900000000000003</v>
      </c>
      <c r="M5" s="64">
        <f t="shared" si="4"/>
        <v>30.711008608540883</v>
      </c>
      <c r="N5" s="64">
        <f t="shared" si="5"/>
        <v>26.419341941874215</v>
      </c>
      <c r="O5" s="64">
        <f t="shared" si="6"/>
        <v>615.59631709221469</v>
      </c>
      <c r="P5" s="64">
        <f t="shared" si="7"/>
        <v>4.8842420616001614E-4</v>
      </c>
      <c r="Q5" s="64">
        <f t="shared" si="8"/>
        <v>7.1559631709221474</v>
      </c>
      <c r="R5" s="64">
        <f t="shared" si="9"/>
        <v>4.291666666666667</v>
      </c>
      <c r="S5" s="70">
        <f t="shared" si="10"/>
        <v>27.777777777777775</v>
      </c>
      <c r="T5" s="66">
        <f t="shared" ref="T5:T68" si="12">0.1*E5*G5/0.02</f>
        <v>0.75000000000000011</v>
      </c>
      <c r="U5" s="67">
        <v>1</v>
      </c>
      <c r="V5" s="68">
        <v>2</v>
      </c>
      <c r="W5" s="66">
        <f t="shared" ref="W5:W19" si="13">T5^1.25-(2*V5/3.6/E5)^1.25-(F5+$I$2*V5/3.6)^1.25</f>
        <v>-24.403817811649532</v>
      </c>
      <c r="X5" s="66">
        <f t="shared" ref="X5:X68" si="14">2*V5/3.6/E5</f>
        <v>11.111111111111111</v>
      </c>
      <c r="Y5" s="66">
        <f t="shared" ref="Y5:Y68" si="15">F5+$I$2*V5/3.6</f>
        <v>3.5166666666666666</v>
      </c>
    </row>
    <row r="6" spans="1:25" s="57" customFormat="1" ht="18" customHeight="1">
      <c r="A6" s="71">
        <f t="shared" si="11"/>
        <v>3</v>
      </c>
      <c r="B6" s="72" t="s">
        <v>74</v>
      </c>
      <c r="C6" s="58" t="s">
        <v>10</v>
      </c>
      <c r="D6" s="56" t="s">
        <v>11</v>
      </c>
      <c r="E6" s="60">
        <v>0.1</v>
      </c>
      <c r="F6" s="63">
        <v>4.8</v>
      </c>
      <c r="G6" s="60">
        <v>2</v>
      </c>
      <c r="H6" s="60">
        <f t="shared" si="0"/>
        <v>0.2</v>
      </c>
      <c r="I6" s="64">
        <v>0.20811965811965813</v>
      </c>
      <c r="J6" s="64">
        <f t="shared" si="1"/>
        <v>10</v>
      </c>
      <c r="K6" s="64">
        <f t="shared" si="2"/>
        <v>7.3833333333333329</v>
      </c>
      <c r="L6" s="65">
        <f t="shared" si="3"/>
        <v>2.6579999999999999</v>
      </c>
      <c r="M6" s="64">
        <f t="shared" si="4"/>
        <v>60.584832945127225</v>
      </c>
      <c r="N6" s="64">
        <f t="shared" si="5"/>
        <v>53.201499611793892</v>
      </c>
      <c r="O6" s="64">
        <f t="shared" si="6"/>
        <v>720.56207149156512</v>
      </c>
      <c r="P6" s="64">
        <f t="shared" si="7"/>
        <v>3.3011562511221852E-4</v>
      </c>
      <c r="Q6" s="64">
        <f t="shared" si="8"/>
        <v>8.2056207149156517</v>
      </c>
      <c r="R6" s="64">
        <f t="shared" si="9"/>
        <v>7.3833333333333329</v>
      </c>
      <c r="S6" s="70">
        <f t="shared" si="10"/>
        <v>55.55555555555555</v>
      </c>
      <c r="T6" s="66">
        <f t="shared" si="12"/>
        <v>1.0000000000000002</v>
      </c>
      <c r="U6" s="67">
        <v>1</v>
      </c>
      <c r="V6" s="68">
        <v>2</v>
      </c>
      <c r="W6" s="66">
        <f t="shared" si="13"/>
        <v>-27.359287185179973</v>
      </c>
      <c r="X6" s="66">
        <f t="shared" si="14"/>
        <v>11.111111111111111</v>
      </c>
      <c r="Y6" s="66">
        <f t="shared" si="15"/>
        <v>5.3166666666666664</v>
      </c>
    </row>
    <row r="7" spans="1:25" s="57" customFormat="1" ht="18" customHeight="1">
      <c r="A7" s="71">
        <f t="shared" si="11"/>
        <v>4</v>
      </c>
      <c r="B7" s="72" t="s">
        <v>77</v>
      </c>
      <c r="C7" s="60">
        <v>20</v>
      </c>
      <c r="D7" s="56" t="s">
        <v>11</v>
      </c>
      <c r="E7" s="60">
        <v>0.1</v>
      </c>
      <c r="F7" s="60">
        <v>9.5</v>
      </c>
      <c r="G7" s="60">
        <v>2.2999999999999998</v>
      </c>
      <c r="H7" s="60">
        <f t="shared" si="0"/>
        <v>0.22999999999999998</v>
      </c>
      <c r="I7" s="60">
        <v>0.20811965811965813</v>
      </c>
      <c r="J7" s="64">
        <f t="shared" si="1"/>
        <v>15</v>
      </c>
      <c r="K7" s="64">
        <f t="shared" si="2"/>
        <v>13.375</v>
      </c>
      <c r="L7" s="65">
        <f t="shared" si="3"/>
        <v>3.21</v>
      </c>
      <c r="M7" s="64">
        <f t="shared" si="4"/>
        <v>92.483290343276011</v>
      </c>
      <c r="N7" s="64">
        <f t="shared" si="5"/>
        <v>79.108290343276011</v>
      </c>
      <c r="O7" s="64">
        <f t="shared" si="6"/>
        <v>591.46385303383931</v>
      </c>
      <c r="P7" s="64">
        <f t="shared" si="7"/>
        <v>2.4869357388377359E-4</v>
      </c>
      <c r="Q7" s="64">
        <f t="shared" si="8"/>
        <v>6.9146385303383937</v>
      </c>
      <c r="R7" s="64">
        <f t="shared" si="9"/>
        <v>13.375</v>
      </c>
      <c r="S7" s="70">
        <f t="shared" si="10"/>
        <v>83.333333333333329</v>
      </c>
      <c r="T7" s="66">
        <f t="shared" si="12"/>
        <v>1.1500000000000001</v>
      </c>
      <c r="U7" s="67">
        <v>1</v>
      </c>
      <c r="V7" s="68">
        <v>2</v>
      </c>
      <c r="W7" s="66">
        <f t="shared" si="13"/>
        <v>-36.914978163658006</v>
      </c>
      <c r="X7" s="66">
        <f t="shared" si="14"/>
        <v>11.111111111111111</v>
      </c>
      <c r="Y7" s="66">
        <f t="shared" si="15"/>
        <v>10.016666666666667</v>
      </c>
    </row>
    <row r="8" spans="1:25" s="57" customFormat="1" ht="18" customHeight="1">
      <c r="A8" s="71">
        <f t="shared" si="11"/>
        <v>5</v>
      </c>
      <c r="B8" s="72" t="s">
        <v>75</v>
      </c>
      <c r="C8" s="58">
        <v>10</v>
      </c>
      <c r="D8" s="56" t="s">
        <v>11</v>
      </c>
      <c r="E8" s="60">
        <v>0.1</v>
      </c>
      <c r="F8" s="63">
        <v>5.5</v>
      </c>
      <c r="G8" s="60">
        <v>2</v>
      </c>
      <c r="H8" s="60">
        <f t="shared" si="0"/>
        <v>0.2</v>
      </c>
      <c r="I8" s="64">
        <v>0.20811965811965813</v>
      </c>
      <c r="J8" s="64">
        <f t="shared" si="1"/>
        <v>30</v>
      </c>
      <c r="K8" s="64">
        <f t="shared" si="2"/>
        <v>13.25</v>
      </c>
      <c r="L8" s="65">
        <f t="shared" si="3"/>
        <v>1.59</v>
      </c>
      <c r="M8" s="64">
        <f t="shared" si="4"/>
        <v>175.61578520791136</v>
      </c>
      <c r="N8" s="64">
        <f t="shared" si="5"/>
        <v>162.36578520791136</v>
      </c>
      <c r="O8" s="64">
        <f t="shared" si="6"/>
        <v>1225.4021525125386</v>
      </c>
      <c r="P8" s="64">
        <f t="shared" si="7"/>
        <v>1.1388497894037272E-4</v>
      </c>
      <c r="Q8" s="64">
        <f t="shared" si="8"/>
        <v>13.254021525125385</v>
      </c>
      <c r="R8" s="64">
        <f t="shared" si="9"/>
        <v>13.25</v>
      </c>
      <c r="S8" s="70">
        <f t="shared" si="10"/>
        <v>166.66666666666666</v>
      </c>
      <c r="T8" s="66">
        <f t="shared" si="12"/>
        <v>1.0000000000000002</v>
      </c>
      <c r="U8" s="67">
        <v>1</v>
      </c>
      <c r="V8" s="68">
        <v>2</v>
      </c>
      <c r="W8" s="66">
        <f t="shared" si="13"/>
        <v>-28.709145371181158</v>
      </c>
      <c r="X8" s="66">
        <f t="shared" si="14"/>
        <v>11.111111111111111</v>
      </c>
      <c r="Y8" s="66">
        <f t="shared" si="15"/>
        <v>6.0166666666666666</v>
      </c>
    </row>
    <row r="9" spans="1:25" s="57" customFormat="1" ht="18" customHeight="1">
      <c r="A9" s="71">
        <f t="shared" si="11"/>
        <v>6</v>
      </c>
      <c r="B9" s="72" t="s">
        <v>12</v>
      </c>
      <c r="C9" s="58" t="s">
        <v>13</v>
      </c>
      <c r="D9" s="56" t="s">
        <v>9</v>
      </c>
      <c r="E9" s="60">
        <v>0.1</v>
      </c>
      <c r="F9" s="63">
        <v>32.5</v>
      </c>
      <c r="G9" s="60">
        <v>1.5</v>
      </c>
      <c r="H9" s="60">
        <f t="shared" si="0"/>
        <v>0.15000000000000002</v>
      </c>
      <c r="I9" s="64">
        <v>7.6068376068376062E-2</v>
      </c>
      <c r="J9" s="64">
        <f t="shared" si="1"/>
        <v>150</v>
      </c>
      <c r="K9" s="64">
        <f t="shared" si="2"/>
        <v>71.25</v>
      </c>
      <c r="L9" s="65">
        <f t="shared" si="3"/>
        <v>1.71</v>
      </c>
      <c r="M9" s="64">
        <f t="shared" si="4"/>
        <v>881.50238646975606</v>
      </c>
      <c r="N9" s="64">
        <f t="shared" si="5"/>
        <v>810.25238646975606</v>
      </c>
      <c r="O9" s="64">
        <f t="shared" si="6"/>
        <v>1137.196331887377</v>
      </c>
      <c r="P9" s="64">
        <f t="shared" si="7"/>
        <v>1.7016403166044801E-5</v>
      </c>
      <c r="Q9" s="64">
        <f t="shared" si="8"/>
        <v>12.371963318873769</v>
      </c>
      <c r="R9" s="64">
        <f t="shared" si="9"/>
        <v>71.25</v>
      </c>
      <c r="S9" s="70">
        <f t="shared" si="10"/>
        <v>833.33333333333326</v>
      </c>
      <c r="T9" s="66">
        <f t="shared" si="12"/>
        <v>0.75000000000000011</v>
      </c>
      <c r="U9" s="67">
        <v>1</v>
      </c>
      <c r="V9" s="68">
        <v>2</v>
      </c>
      <c r="W9" s="66">
        <f t="shared" si="13"/>
        <v>-98.731800097230405</v>
      </c>
      <c r="X9" s="66">
        <f t="shared" si="14"/>
        <v>11.111111111111111</v>
      </c>
      <c r="Y9" s="66">
        <f t="shared" si="15"/>
        <v>33.016666666666666</v>
      </c>
    </row>
    <row r="10" spans="1:25" s="57" customFormat="1" ht="18" customHeight="1">
      <c r="A10" s="71">
        <f t="shared" si="11"/>
        <v>7</v>
      </c>
      <c r="B10" s="72" t="s">
        <v>76</v>
      </c>
      <c r="C10" s="58">
        <v>2</v>
      </c>
      <c r="D10" s="56" t="s">
        <v>9</v>
      </c>
      <c r="E10" s="60">
        <v>0.1</v>
      </c>
      <c r="F10" s="63">
        <v>17.5</v>
      </c>
      <c r="G10" s="60">
        <v>1.5</v>
      </c>
      <c r="H10" s="60">
        <f t="shared" si="0"/>
        <v>0.15000000000000002</v>
      </c>
      <c r="I10" s="64">
        <v>7.6068376068376062E-2</v>
      </c>
      <c r="J10" s="64">
        <f t="shared" si="1"/>
        <v>150</v>
      </c>
      <c r="K10" s="64">
        <f t="shared" si="2"/>
        <v>56.25</v>
      </c>
      <c r="L10" s="65">
        <f t="shared" si="3"/>
        <v>1.35</v>
      </c>
      <c r="M10" s="64">
        <f t="shared" si="4"/>
        <v>871.25137011484628</v>
      </c>
      <c r="N10" s="64">
        <f t="shared" si="5"/>
        <v>815.00137011484628</v>
      </c>
      <c r="O10" s="64">
        <f t="shared" si="6"/>
        <v>1448.8913246486156</v>
      </c>
      <c r="P10" s="64">
        <f t="shared" si="7"/>
        <v>1.7216615680068013E-5</v>
      </c>
      <c r="Q10" s="64">
        <f t="shared" si="8"/>
        <v>15.488913246486156</v>
      </c>
      <c r="R10" s="64">
        <f t="shared" si="9"/>
        <v>56.25</v>
      </c>
      <c r="S10" s="70">
        <f t="shared" si="10"/>
        <v>833.33333333333326</v>
      </c>
      <c r="T10" s="66">
        <f t="shared" si="12"/>
        <v>0.75000000000000011</v>
      </c>
      <c r="U10" s="67">
        <v>1</v>
      </c>
      <c r="V10" s="68">
        <v>2</v>
      </c>
      <c r="W10" s="66">
        <f t="shared" si="13"/>
        <v>-56.706792375335183</v>
      </c>
      <c r="X10" s="66">
        <f t="shared" si="14"/>
        <v>11.111111111111111</v>
      </c>
      <c r="Y10" s="66">
        <f t="shared" si="15"/>
        <v>18.016666666666666</v>
      </c>
    </row>
    <row r="11" spans="1:25" s="57" customFormat="1" ht="18" customHeight="1">
      <c r="A11" s="71">
        <f>A10+1</f>
        <v>8</v>
      </c>
      <c r="B11" s="72" t="s">
        <v>14</v>
      </c>
      <c r="C11" s="58">
        <v>50</v>
      </c>
      <c r="D11" s="56" t="s">
        <v>9</v>
      </c>
      <c r="E11" s="60">
        <v>0.5</v>
      </c>
      <c r="F11" s="63">
        <v>4.4000000000000004</v>
      </c>
      <c r="G11" s="60">
        <v>1.5</v>
      </c>
      <c r="H11" s="60">
        <f t="shared" ref="H11:H19" si="16">E11*G11</f>
        <v>0.75</v>
      </c>
      <c r="I11" s="64">
        <v>7.6068376068376062E-2</v>
      </c>
      <c r="J11" s="64">
        <f t="shared" ref="J11:J19" si="17">100/C11*3</f>
        <v>6</v>
      </c>
      <c r="K11" s="64">
        <f t="shared" ref="K11:K19" si="18">F11+$I$2*J11/3.6</f>
        <v>5.95</v>
      </c>
      <c r="L11" s="65">
        <f t="shared" ref="L11:L19" si="19">K11*3.6/J11</f>
        <v>3.5700000000000003</v>
      </c>
      <c r="M11" s="64">
        <f t="shared" ref="M11:M19" si="20">K11/(1+(EXP(-L11*E11)-1)/L11/E11)</f>
        <v>11.146917255234825</v>
      </c>
      <c r="N11" s="64">
        <f t="shared" ref="N11:N19" si="21">M11-K11</f>
        <v>5.1969172552348253</v>
      </c>
      <c r="O11" s="64">
        <f t="shared" ref="O11:O19" si="22">N11/K11*100</f>
        <v>87.343147146803773</v>
      </c>
      <c r="P11" s="64">
        <f t="shared" ref="P11:P19" si="23">$F$2*H11/M11</f>
        <v>6.7283176399984884E-3</v>
      </c>
      <c r="Q11" s="64">
        <f t="shared" ref="Q11:Q19" si="24">M11/K11</f>
        <v>1.8734314714680378</v>
      </c>
      <c r="R11" s="64">
        <f t="shared" ref="R11:R19" si="25">K11</f>
        <v>5.95</v>
      </c>
      <c r="S11" s="70">
        <f t="shared" ref="S11:S19" si="26">2*J11/3.6/E11</f>
        <v>6.6666666666666661</v>
      </c>
      <c r="T11" s="66">
        <f t="shared" si="12"/>
        <v>3.7500000000000004</v>
      </c>
      <c r="U11" s="67">
        <v>1</v>
      </c>
      <c r="V11" s="68">
        <v>2</v>
      </c>
      <c r="W11" s="66">
        <f t="shared" si="13"/>
        <v>-4.8160995516606047</v>
      </c>
      <c r="X11" s="66">
        <f t="shared" si="14"/>
        <v>2.2222222222222223</v>
      </c>
      <c r="Y11" s="66">
        <f t="shared" si="15"/>
        <v>4.916666666666667</v>
      </c>
    </row>
    <row r="12" spans="1:25" s="57" customFormat="1" ht="18" customHeight="1">
      <c r="A12" s="71">
        <f t="shared" ref="A12:A19" si="27">A11+1</f>
        <v>9</v>
      </c>
      <c r="B12" s="72" t="s">
        <v>15</v>
      </c>
      <c r="C12" s="58" t="s">
        <v>16</v>
      </c>
      <c r="D12" s="56" t="s">
        <v>11</v>
      </c>
      <c r="E12" s="60">
        <v>0.5</v>
      </c>
      <c r="F12" s="63">
        <v>4.55</v>
      </c>
      <c r="G12" s="60">
        <v>2.2999999999999998</v>
      </c>
      <c r="H12" s="60">
        <f t="shared" si="16"/>
        <v>1.1499999999999999</v>
      </c>
      <c r="I12" s="64">
        <v>0.20811965811965813</v>
      </c>
      <c r="J12" s="64">
        <f t="shared" si="17"/>
        <v>7.5</v>
      </c>
      <c r="K12" s="64">
        <f t="shared" si="18"/>
        <v>6.4874999999999998</v>
      </c>
      <c r="L12" s="65">
        <f t="shared" si="19"/>
        <v>3.1139999999999999</v>
      </c>
      <c r="M12" s="64">
        <f t="shared" si="20"/>
        <v>13.156376733746841</v>
      </c>
      <c r="N12" s="64">
        <f t="shared" si="21"/>
        <v>6.6688767337468411</v>
      </c>
      <c r="O12" s="64">
        <f t="shared" si="22"/>
        <v>102.79578780341951</v>
      </c>
      <c r="P12" s="64">
        <f t="shared" si="23"/>
        <v>8.7410084347173313E-3</v>
      </c>
      <c r="Q12" s="64">
        <f t="shared" si="24"/>
        <v>2.0279578780341954</v>
      </c>
      <c r="R12" s="64">
        <f t="shared" si="25"/>
        <v>6.4874999999999998</v>
      </c>
      <c r="S12" s="70">
        <f t="shared" si="26"/>
        <v>8.3333333333333339</v>
      </c>
      <c r="T12" s="66">
        <f t="shared" si="12"/>
        <v>5.7499999999999991</v>
      </c>
      <c r="U12" s="67">
        <v>1</v>
      </c>
      <c r="V12" s="68">
        <v>2</v>
      </c>
      <c r="W12" s="66">
        <f t="shared" si="13"/>
        <v>-1.4107863134034231</v>
      </c>
      <c r="X12" s="66">
        <f t="shared" si="14"/>
        <v>2.2222222222222223</v>
      </c>
      <c r="Y12" s="66">
        <f t="shared" si="15"/>
        <v>5.0666666666666664</v>
      </c>
    </row>
    <row r="13" spans="1:25" s="57" customFormat="1" ht="18" customHeight="1">
      <c r="A13" s="71">
        <f t="shared" si="27"/>
        <v>10</v>
      </c>
      <c r="B13" s="72" t="s">
        <v>78</v>
      </c>
      <c r="C13" s="58">
        <v>30</v>
      </c>
      <c r="D13" s="56" t="s">
        <v>9</v>
      </c>
      <c r="E13" s="60">
        <v>0.5</v>
      </c>
      <c r="F13" s="63">
        <v>3.5</v>
      </c>
      <c r="G13" s="60">
        <v>1.5</v>
      </c>
      <c r="H13" s="60">
        <f t="shared" si="16"/>
        <v>0.75</v>
      </c>
      <c r="I13" s="64">
        <v>7.6068376068376062E-2</v>
      </c>
      <c r="J13" s="64">
        <f t="shared" si="17"/>
        <v>10</v>
      </c>
      <c r="K13" s="64">
        <f t="shared" si="18"/>
        <v>6.0833333333333339</v>
      </c>
      <c r="L13" s="65">
        <f t="shared" si="19"/>
        <v>2.1900000000000004</v>
      </c>
      <c r="M13" s="64">
        <f t="shared" si="20"/>
        <v>15.507883073508953</v>
      </c>
      <c r="N13" s="64">
        <f t="shared" si="21"/>
        <v>9.4245497401756193</v>
      </c>
      <c r="O13" s="64">
        <f t="shared" si="22"/>
        <v>154.92410531795537</v>
      </c>
      <c r="P13" s="64">
        <f t="shared" si="23"/>
        <v>4.8362500313222853E-3</v>
      </c>
      <c r="Q13" s="64">
        <f t="shared" si="24"/>
        <v>2.5492410531795535</v>
      </c>
      <c r="R13" s="64">
        <f t="shared" si="25"/>
        <v>6.0833333333333339</v>
      </c>
      <c r="S13" s="70">
        <f t="shared" si="26"/>
        <v>11.111111111111111</v>
      </c>
      <c r="T13" s="66">
        <f t="shared" si="12"/>
        <v>3.7500000000000004</v>
      </c>
      <c r="U13" s="67">
        <v>1</v>
      </c>
      <c r="V13" s="68">
        <v>2</v>
      </c>
      <c r="W13" s="66">
        <f t="shared" si="13"/>
        <v>-3.1811276313479979</v>
      </c>
      <c r="X13" s="66">
        <f t="shared" si="14"/>
        <v>2.2222222222222223</v>
      </c>
      <c r="Y13" s="66">
        <f t="shared" si="15"/>
        <v>4.0166666666666666</v>
      </c>
    </row>
    <row r="14" spans="1:25" s="57" customFormat="1" ht="18" customHeight="1">
      <c r="A14" s="71">
        <f t="shared" si="27"/>
        <v>11</v>
      </c>
      <c r="B14" s="72" t="s">
        <v>17</v>
      </c>
      <c r="C14" s="58" t="s">
        <v>18</v>
      </c>
      <c r="D14" s="56" t="s">
        <v>9</v>
      </c>
      <c r="E14" s="60">
        <v>0.5</v>
      </c>
      <c r="F14" s="63">
        <v>4</v>
      </c>
      <c r="G14" s="60">
        <v>1.5</v>
      </c>
      <c r="H14" s="60">
        <f t="shared" si="16"/>
        <v>0.75</v>
      </c>
      <c r="I14" s="64">
        <v>7.6068376068376062E-2</v>
      </c>
      <c r="J14" s="64">
        <f t="shared" si="17"/>
        <v>15</v>
      </c>
      <c r="K14" s="64">
        <f t="shared" si="18"/>
        <v>7.875</v>
      </c>
      <c r="L14" s="65">
        <f t="shared" si="19"/>
        <v>1.8900000000000001</v>
      </c>
      <c r="M14" s="64">
        <f t="shared" si="20"/>
        <v>22.302459152319962</v>
      </c>
      <c r="N14" s="64">
        <f t="shared" si="21"/>
        <v>14.427459152319962</v>
      </c>
      <c r="O14" s="64">
        <f t="shared" si="22"/>
        <v>183.20583050565031</v>
      </c>
      <c r="P14" s="64">
        <f t="shared" si="23"/>
        <v>3.3628578574124777E-3</v>
      </c>
      <c r="Q14" s="64">
        <f t="shared" si="24"/>
        <v>2.8320583050565031</v>
      </c>
      <c r="R14" s="64">
        <f t="shared" si="25"/>
        <v>7.875</v>
      </c>
      <c r="S14" s="70">
        <f t="shared" si="26"/>
        <v>16.666666666666668</v>
      </c>
      <c r="T14" s="66">
        <f t="shared" si="12"/>
        <v>3.7500000000000004</v>
      </c>
      <c r="U14" s="67">
        <v>1</v>
      </c>
      <c r="V14" s="68">
        <v>2</v>
      </c>
      <c r="W14" s="66">
        <f t="shared" si="13"/>
        <v>-4.0792914586511539</v>
      </c>
      <c r="X14" s="66">
        <f t="shared" si="14"/>
        <v>2.2222222222222223</v>
      </c>
      <c r="Y14" s="66">
        <f t="shared" si="15"/>
        <v>4.5166666666666666</v>
      </c>
    </row>
    <row r="15" spans="1:25" s="57" customFormat="1" ht="18" customHeight="1">
      <c r="A15" s="71">
        <f t="shared" si="27"/>
        <v>12</v>
      </c>
      <c r="B15" s="72" t="s">
        <v>80</v>
      </c>
      <c r="C15" s="60">
        <v>20</v>
      </c>
      <c r="D15" s="56" t="s">
        <v>81</v>
      </c>
      <c r="E15" s="60">
        <v>0.5</v>
      </c>
      <c r="F15" s="60">
        <v>8</v>
      </c>
      <c r="G15" s="60">
        <v>2.8</v>
      </c>
      <c r="H15" s="60">
        <f t="shared" si="16"/>
        <v>1.4</v>
      </c>
      <c r="I15" s="60">
        <v>0.298032200357782</v>
      </c>
      <c r="J15" s="64">
        <f t="shared" si="17"/>
        <v>15</v>
      </c>
      <c r="K15" s="64">
        <f t="shared" si="18"/>
        <v>11.875</v>
      </c>
      <c r="L15" s="65">
        <f t="shared" si="19"/>
        <v>2.85</v>
      </c>
      <c r="M15" s="64">
        <f t="shared" si="20"/>
        <v>25.426986936306609</v>
      </c>
      <c r="N15" s="64">
        <f t="shared" si="21"/>
        <v>13.551986936306609</v>
      </c>
      <c r="O15" s="64">
        <f t="shared" si="22"/>
        <v>114.12199525310828</v>
      </c>
      <c r="P15" s="64">
        <f t="shared" si="23"/>
        <v>5.5059610621853595E-3</v>
      </c>
      <c r="Q15" s="64">
        <f t="shared" si="24"/>
        <v>2.1412199525310829</v>
      </c>
      <c r="R15" s="64">
        <f t="shared" si="25"/>
        <v>11.875</v>
      </c>
      <c r="S15" s="70">
        <f t="shared" si="26"/>
        <v>16.666666666666668</v>
      </c>
      <c r="T15" s="66">
        <f t="shared" si="12"/>
        <v>6.9999999999999991</v>
      </c>
      <c r="U15" s="67">
        <v>1</v>
      </c>
      <c r="V15" s="68">
        <v>2</v>
      </c>
      <c r="W15" s="66">
        <f t="shared" si="13"/>
        <v>-5.8763112603577277</v>
      </c>
      <c r="X15" s="66">
        <f t="shared" si="14"/>
        <v>2.2222222222222223</v>
      </c>
      <c r="Y15" s="66">
        <f t="shared" si="15"/>
        <v>8.5166666666666675</v>
      </c>
    </row>
    <row r="16" spans="1:25" s="57" customFormat="1" ht="18" customHeight="1">
      <c r="A16" s="71">
        <f t="shared" si="27"/>
        <v>13</v>
      </c>
      <c r="B16" s="72" t="s">
        <v>82</v>
      </c>
      <c r="C16" s="60">
        <v>20</v>
      </c>
      <c r="D16" s="56" t="s">
        <v>21</v>
      </c>
      <c r="E16" s="60">
        <v>0.5</v>
      </c>
      <c r="F16" s="60">
        <v>9.5</v>
      </c>
      <c r="G16" s="60">
        <v>3.5</v>
      </c>
      <c r="H16" s="60">
        <f t="shared" si="16"/>
        <v>1.75</v>
      </c>
      <c r="I16" s="60">
        <v>0.37254025044722744</v>
      </c>
      <c r="J16" s="64">
        <f t="shared" si="17"/>
        <v>15</v>
      </c>
      <c r="K16" s="64">
        <f t="shared" si="18"/>
        <v>13.375</v>
      </c>
      <c r="L16" s="65">
        <f t="shared" si="19"/>
        <v>3.21</v>
      </c>
      <c r="M16" s="64">
        <f t="shared" si="20"/>
        <v>26.637490049602629</v>
      </c>
      <c r="N16" s="64">
        <f t="shared" si="21"/>
        <v>13.262490049602629</v>
      </c>
      <c r="O16" s="64">
        <f t="shared" si="22"/>
        <v>99.158804109178533</v>
      </c>
      <c r="P16" s="64">
        <f t="shared" si="23"/>
        <v>6.5696880477149394E-3</v>
      </c>
      <c r="Q16" s="64">
        <f t="shared" si="24"/>
        <v>1.9915880410917854</v>
      </c>
      <c r="R16" s="64">
        <f t="shared" si="25"/>
        <v>13.375</v>
      </c>
      <c r="S16" s="70">
        <f t="shared" si="26"/>
        <v>16.666666666666668</v>
      </c>
      <c r="T16" s="66">
        <f t="shared" si="12"/>
        <v>8.75</v>
      </c>
      <c r="U16" s="67">
        <v>1</v>
      </c>
      <c r="V16" s="68">
        <v>2</v>
      </c>
      <c r="W16" s="66">
        <f t="shared" si="13"/>
        <v>-5.4839812315416268</v>
      </c>
      <c r="X16" s="66">
        <f t="shared" si="14"/>
        <v>2.2222222222222223</v>
      </c>
      <c r="Y16" s="66">
        <f t="shared" si="15"/>
        <v>10.016666666666667</v>
      </c>
    </row>
    <row r="17" spans="1:25" s="57" customFormat="1" ht="18" customHeight="1">
      <c r="A17" s="71">
        <f t="shared" si="27"/>
        <v>14</v>
      </c>
      <c r="B17" s="72" t="s">
        <v>83</v>
      </c>
      <c r="C17" s="60">
        <v>20</v>
      </c>
      <c r="D17" s="56" t="s">
        <v>81</v>
      </c>
      <c r="E17" s="60">
        <v>0.5</v>
      </c>
      <c r="F17" s="60">
        <v>9.5</v>
      </c>
      <c r="G17" s="60">
        <v>3</v>
      </c>
      <c r="H17" s="60">
        <f t="shared" si="16"/>
        <v>1.5</v>
      </c>
      <c r="I17" s="60">
        <v>0.31932021466905208</v>
      </c>
      <c r="J17" s="64">
        <f t="shared" si="17"/>
        <v>15</v>
      </c>
      <c r="K17" s="64">
        <f t="shared" si="18"/>
        <v>13.375</v>
      </c>
      <c r="L17" s="65">
        <f t="shared" si="19"/>
        <v>3.21</v>
      </c>
      <c r="M17" s="64">
        <f t="shared" si="20"/>
        <v>26.637490049602629</v>
      </c>
      <c r="N17" s="64">
        <f t="shared" si="21"/>
        <v>13.262490049602629</v>
      </c>
      <c r="O17" s="64">
        <f t="shared" si="22"/>
        <v>99.158804109178533</v>
      </c>
      <c r="P17" s="64">
        <f t="shared" si="23"/>
        <v>5.6311611837556626E-3</v>
      </c>
      <c r="Q17" s="64">
        <f t="shared" si="24"/>
        <v>1.9915880410917854</v>
      </c>
      <c r="R17" s="64">
        <f t="shared" si="25"/>
        <v>13.375</v>
      </c>
      <c r="S17" s="70">
        <f t="shared" si="26"/>
        <v>16.666666666666668</v>
      </c>
      <c r="T17" s="66">
        <f t="shared" si="12"/>
        <v>7.5000000000000009</v>
      </c>
      <c r="U17" s="67">
        <v>1</v>
      </c>
      <c r="V17" s="68">
        <v>2</v>
      </c>
      <c r="W17" s="66">
        <f t="shared" si="13"/>
        <v>-8.1214992814613289</v>
      </c>
      <c r="X17" s="66">
        <f t="shared" si="14"/>
        <v>2.2222222222222223</v>
      </c>
      <c r="Y17" s="66">
        <f t="shared" si="15"/>
        <v>10.016666666666667</v>
      </c>
    </row>
    <row r="18" spans="1:25" s="57" customFormat="1" ht="18" customHeight="1">
      <c r="A18" s="71">
        <f t="shared" si="27"/>
        <v>15</v>
      </c>
      <c r="B18" s="73" t="s">
        <v>84</v>
      </c>
      <c r="C18" s="61">
        <v>20</v>
      </c>
      <c r="D18" s="62" t="s">
        <v>21</v>
      </c>
      <c r="E18" s="61">
        <v>0.5</v>
      </c>
      <c r="F18" s="69">
        <v>9.5</v>
      </c>
      <c r="G18" s="61">
        <v>3.5</v>
      </c>
      <c r="H18" s="60">
        <f t="shared" si="16"/>
        <v>1.75</v>
      </c>
      <c r="I18" s="60">
        <v>0.37254025044722744</v>
      </c>
      <c r="J18" s="64">
        <f t="shared" si="17"/>
        <v>15</v>
      </c>
      <c r="K18" s="64">
        <f t="shared" si="18"/>
        <v>13.375</v>
      </c>
      <c r="L18" s="65">
        <f t="shared" si="19"/>
        <v>3.21</v>
      </c>
      <c r="M18" s="64">
        <f t="shared" si="20"/>
        <v>26.637490049602629</v>
      </c>
      <c r="N18" s="64">
        <f t="shared" si="21"/>
        <v>13.262490049602629</v>
      </c>
      <c r="O18" s="64">
        <f t="shared" si="22"/>
        <v>99.158804109178533</v>
      </c>
      <c r="P18" s="64">
        <f t="shared" si="23"/>
        <v>6.5696880477149394E-3</v>
      </c>
      <c r="Q18" s="64">
        <f t="shared" si="24"/>
        <v>1.9915880410917854</v>
      </c>
      <c r="R18" s="64">
        <f t="shared" si="25"/>
        <v>13.375</v>
      </c>
      <c r="S18" s="70">
        <f t="shared" si="26"/>
        <v>16.666666666666668</v>
      </c>
      <c r="T18" s="66">
        <f t="shared" si="12"/>
        <v>8.75</v>
      </c>
      <c r="U18" s="67">
        <v>1</v>
      </c>
      <c r="V18" s="68">
        <v>2</v>
      </c>
      <c r="W18" s="66">
        <f t="shared" si="13"/>
        <v>-5.4839812315416268</v>
      </c>
      <c r="X18" s="66">
        <f t="shared" si="14"/>
        <v>2.2222222222222223</v>
      </c>
      <c r="Y18" s="66">
        <f t="shared" si="15"/>
        <v>10.016666666666667</v>
      </c>
    </row>
    <row r="19" spans="1:25" s="57" customFormat="1" ht="18" customHeight="1">
      <c r="A19" s="71">
        <f t="shared" si="27"/>
        <v>16</v>
      </c>
      <c r="B19" s="72" t="s">
        <v>79</v>
      </c>
      <c r="C19" s="58" t="s">
        <v>19</v>
      </c>
      <c r="D19" s="56" t="s">
        <v>11</v>
      </c>
      <c r="E19" s="60">
        <v>0.5</v>
      </c>
      <c r="F19" s="63">
        <v>8.5</v>
      </c>
      <c r="G19" s="60">
        <v>2.2999999999999998</v>
      </c>
      <c r="H19" s="60">
        <f t="shared" si="16"/>
        <v>1.1499999999999999</v>
      </c>
      <c r="I19" s="64">
        <v>0.20811965811965813</v>
      </c>
      <c r="J19" s="64">
        <f t="shared" si="17"/>
        <v>60</v>
      </c>
      <c r="K19" s="64">
        <f t="shared" si="18"/>
        <v>24</v>
      </c>
      <c r="L19" s="65">
        <f t="shared" si="19"/>
        <v>1.4400000000000002</v>
      </c>
      <c r="M19" s="64">
        <f t="shared" si="20"/>
        <v>83.578289967222901</v>
      </c>
      <c r="N19" s="64">
        <f t="shared" si="21"/>
        <v>59.578289967222901</v>
      </c>
      <c r="O19" s="64">
        <f t="shared" si="22"/>
        <v>248.24287486342877</v>
      </c>
      <c r="P19" s="64">
        <f t="shared" si="23"/>
        <v>1.375955407141015E-3</v>
      </c>
      <c r="Q19" s="64">
        <f t="shared" si="24"/>
        <v>3.4824287486342875</v>
      </c>
      <c r="R19" s="64">
        <f t="shared" si="25"/>
        <v>24</v>
      </c>
      <c r="S19" s="70">
        <f t="shared" si="26"/>
        <v>66.666666666666671</v>
      </c>
      <c r="T19" s="66">
        <f t="shared" si="12"/>
        <v>5.7499999999999991</v>
      </c>
      <c r="U19" s="67">
        <v>1</v>
      </c>
      <c r="V19" s="68">
        <v>2</v>
      </c>
      <c r="W19" s="66">
        <f t="shared" si="13"/>
        <v>-9.4337730187623947</v>
      </c>
      <c r="X19" s="66">
        <f t="shared" si="14"/>
        <v>2.2222222222222223</v>
      </c>
      <c r="Y19" s="66">
        <f t="shared" si="15"/>
        <v>9.0166666666666675</v>
      </c>
    </row>
    <row r="20" spans="1:25" s="57" customFormat="1" ht="18" customHeight="1">
      <c r="A20" s="71">
        <f>A19+1</f>
        <v>17</v>
      </c>
      <c r="B20" s="72" t="s">
        <v>86</v>
      </c>
      <c r="C20" s="58">
        <v>150</v>
      </c>
      <c r="D20" s="56" t="s">
        <v>9</v>
      </c>
      <c r="E20" s="60">
        <v>1</v>
      </c>
      <c r="F20" s="63">
        <v>4</v>
      </c>
      <c r="G20" s="60">
        <v>1.8</v>
      </c>
      <c r="H20" s="63">
        <f t="shared" ref="H20:H58" si="28">E20*G20</f>
        <v>1.8</v>
      </c>
      <c r="I20" s="64">
        <v>8.8333333333333333E-2</v>
      </c>
      <c r="J20" s="63">
        <f t="shared" ref="J20:J58" si="29">100/C20*3</f>
        <v>2</v>
      </c>
      <c r="K20" s="64">
        <f t="shared" ref="K20:K58" si="30">F20+$I$2*J20/3.6</f>
        <v>4.5166666666666666</v>
      </c>
      <c r="L20" s="65">
        <f t="shared" ref="L20:L58" si="31">K20*3.6/J20</f>
        <v>8.1300000000000008</v>
      </c>
      <c r="M20" s="64">
        <f t="shared" ref="M20:M58" si="32">K20/(1+(EXP(-L20*E20)-1)/L20/E20)</f>
        <v>5.1499274887973829</v>
      </c>
      <c r="N20" s="64">
        <f t="shared" ref="N20:N58" si="33">M20-K20</f>
        <v>0.63326082213071633</v>
      </c>
      <c r="O20" s="64">
        <f t="shared" ref="O20:O58" si="34">N20/K20*100</f>
        <v>14.020534807322132</v>
      </c>
      <c r="P20" s="64">
        <f t="shared" ref="P20:P58" si="35">$F$2*H20/M20</f>
        <v>3.4951948428701828E-2</v>
      </c>
      <c r="Q20" s="64">
        <f t="shared" ref="Q20:Q58" si="36">M20/K20</f>
        <v>1.1402053480732213</v>
      </c>
      <c r="R20" s="64">
        <f t="shared" ref="R20:R58" si="37">K20</f>
        <v>4.5166666666666666</v>
      </c>
      <c r="S20" s="70">
        <f t="shared" ref="S20:S58" si="38">2*J20/3.6/E20</f>
        <v>1.1111111111111112</v>
      </c>
      <c r="T20" s="66">
        <f t="shared" si="12"/>
        <v>9</v>
      </c>
      <c r="U20" s="66">
        <f t="shared" ref="U20:U74" si="39">(T20^1.25-S20^1.25)^(1/1.25)</f>
        <v>8.4691289127370872</v>
      </c>
      <c r="V20" s="70">
        <v>7.74455806007178</v>
      </c>
      <c r="W20" s="66">
        <f>T20^1.25-(2*V20/3.6/E20)^1.25-(F20+$I$2*V20/3.6)^1.25</f>
        <v>3.1263880373444408E-13</v>
      </c>
      <c r="X20" s="66">
        <f t="shared" si="14"/>
        <v>4.3025322555954331</v>
      </c>
      <c r="Y20" s="66">
        <f t="shared" si="15"/>
        <v>6.0006774988518767</v>
      </c>
    </row>
    <row r="21" spans="1:25" s="57" customFormat="1" ht="18" customHeight="1">
      <c r="A21" s="71">
        <f t="shared" ref="A21:A58" si="40">A20+1</f>
        <v>18</v>
      </c>
      <c r="B21" s="72" t="s">
        <v>87</v>
      </c>
      <c r="C21" s="58">
        <v>100</v>
      </c>
      <c r="D21" s="56" t="s">
        <v>9</v>
      </c>
      <c r="E21" s="60">
        <v>1</v>
      </c>
      <c r="F21" s="63">
        <v>4.0999999999999996</v>
      </c>
      <c r="G21" s="60">
        <v>1.8</v>
      </c>
      <c r="H21" s="63">
        <f t="shared" si="28"/>
        <v>1.8</v>
      </c>
      <c r="I21" s="64">
        <v>8.8333333333333333E-2</v>
      </c>
      <c r="J21" s="63">
        <f t="shared" si="29"/>
        <v>3</v>
      </c>
      <c r="K21" s="64">
        <f t="shared" si="30"/>
        <v>4.875</v>
      </c>
      <c r="L21" s="65">
        <f t="shared" si="31"/>
        <v>5.8500000000000005</v>
      </c>
      <c r="M21" s="64">
        <f t="shared" si="32"/>
        <v>5.8766651128019118</v>
      </c>
      <c r="N21" s="64">
        <f t="shared" si="33"/>
        <v>1.0016651128019118</v>
      </c>
      <c r="O21" s="64">
        <f t="shared" si="34"/>
        <v>20.546976672859728</v>
      </c>
      <c r="P21" s="64">
        <f t="shared" si="35"/>
        <v>3.062961672052443E-2</v>
      </c>
      <c r="Q21" s="64">
        <f t="shared" si="36"/>
        <v>1.2054697667285974</v>
      </c>
      <c r="R21" s="64">
        <f t="shared" si="37"/>
        <v>4.875</v>
      </c>
      <c r="S21" s="70">
        <f t="shared" si="38"/>
        <v>1.6666666666666665</v>
      </c>
      <c r="T21" s="66">
        <f t="shared" si="12"/>
        <v>9</v>
      </c>
      <c r="U21" s="66">
        <f t="shared" si="39"/>
        <v>8.1141587085041387</v>
      </c>
      <c r="V21" s="70">
        <v>7.614311161395964</v>
      </c>
      <c r="W21" s="66">
        <f t="shared" ref="W21:W84" si="41">T21^1.25-(2*V21/3.6/E21)^1.25-(F21+$I$2*V21/3.6)^1.25</f>
        <v>2.2204460492503131E-13</v>
      </c>
      <c r="X21" s="66">
        <f t="shared" si="14"/>
        <v>4.2301728674422021</v>
      </c>
      <c r="Y21" s="66">
        <f t="shared" si="15"/>
        <v>6.0670303833606241</v>
      </c>
    </row>
    <row r="22" spans="1:25" s="57" customFormat="1" ht="18" customHeight="1">
      <c r="A22" s="71">
        <f t="shared" si="40"/>
        <v>19</v>
      </c>
      <c r="B22" s="72" t="s">
        <v>20</v>
      </c>
      <c r="C22" s="58">
        <v>100</v>
      </c>
      <c r="D22" s="56" t="s">
        <v>21</v>
      </c>
      <c r="E22" s="60">
        <v>1</v>
      </c>
      <c r="F22" s="63">
        <v>4.7</v>
      </c>
      <c r="G22" s="60">
        <v>2</v>
      </c>
      <c r="H22" s="63">
        <f t="shared" si="28"/>
        <v>2</v>
      </c>
      <c r="I22" s="64">
        <v>0.45769230769230773</v>
      </c>
      <c r="J22" s="63">
        <f t="shared" si="29"/>
        <v>3</v>
      </c>
      <c r="K22" s="64">
        <f t="shared" si="30"/>
        <v>5.4750000000000005</v>
      </c>
      <c r="L22" s="65">
        <f t="shared" si="31"/>
        <v>6.57</v>
      </c>
      <c r="M22" s="64">
        <f t="shared" si="32"/>
        <v>6.4563194879802195</v>
      </c>
      <c r="N22" s="64">
        <f t="shared" si="33"/>
        <v>0.98131948798021895</v>
      </c>
      <c r="O22" s="64">
        <f t="shared" si="34"/>
        <v>17.923643616077058</v>
      </c>
      <c r="P22" s="64">
        <f t="shared" si="35"/>
        <v>3.0977401346439188E-2</v>
      </c>
      <c r="Q22" s="64">
        <f t="shared" si="36"/>
        <v>1.1792364361607706</v>
      </c>
      <c r="R22" s="64">
        <f t="shared" si="37"/>
        <v>5.4750000000000005</v>
      </c>
      <c r="S22" s="70">
        <f t="shared" si="38"/>
        <v>1.6666666666666665</v>
      </c>
      <c r="T22" s="66">
        <f t="shared" si="12"/>
        <v>10</v>
      </c>
      <c r="U22" s="66">
        <f t="shared" si="39"/>
        <v>9.1385929349055584</v>
      </c>
      <c r="V22" s="70">
        <v>8.2712023038197167</v>
      </c>
      <c r="W22" s="66">
        <f t="shared" si="41"/>
        <v>-9.8581478624737429E-7</v>
      </c>
      <c r="X22" s="66">
        <f t="shared" si="14"/>
        <v>4.5951123910109537</v>
      </c>
      <c r="Y22" s="66">
        <f t="shared" si="15"/>
        <v>6.8367272618200943</v>
      </c>
    </row>
    <row r="23" spans="1:25" s="57" customFormat="1" ht="18" customHeight="1">
      <c r="A23" s="71">
        <f t="shared" si="40"/>
        <v>20</v>
      </c>
      <c r="B23" s="72" t="s">
        <v>22</v>
      </c>
      <c r="C23" s="58">
        <v>100</v>
      </c>
      <c r="D23" s="56" t="s">
        <v>21</v>
      </c>
      <c r="E23" s="60">
        <v>1</v>
      </c>
      <c r="F23" s="63">
        <v>4.7</v>
      </c>
      <c r="G23" s="60">
        <v>2</v>
      </c>
      <c r="H23" s="63">
        <f t="shared" si="28"/>
        <v>2</v>
      </c>
      <c r="I23" s="64">
        <v>0.45769230769230773</v>
      </c>
      <c r="J23" s="63">
        <f t="shared" si="29"/>
        <v>3</v>
      </c>
      <c r="K23" s="64">
        <f t="shared" si="30"/>
        <v>5.4750000000000005</v>
      </c>
      <c r="L23" s="65">
        <f t="shared" si="31"/>
        <v>6.57</v>
      </c>
      <c r="M23" s="64">
        <f t="shared" si="32"/>
        <v>6.4563194879802195</v>
      </c>
      <c r="N23" s="64">
        <f t="shared" si="33"/>
        <v>0.98131948798021895</v>
      </c>
      <c r="O23" s="64">
        <f t="shared" si="34"/>
        <v>17.923643616077058</v>
      </c>
      <c r="P23" s="64">
        <f t="shared" si="35"/>
        <v>3.0977401346439188E-2</v>
      </c>
      <c r="Q23" s="64">
        <f t="shared" si="36"/>
        <v>1.1792364361607706</v>
      </c>
      <c r="R23" s="64">
        <f t="shared" si="37"/>
        <v>5.4750000000000005</v>
      </c>
      <c r="S23" s="70">
        <f t="shared" si="38"/>
        <v>1.6666666666666665</v>
      </c>
      <c r="T23" s="66">
        <f t="shared" si="12"/>
        <v>10</v>
      </c>
      <c r="U23" s="66">
        <f t="shared" si="39"/>
        <v>9.1385929349055584</v>
      </c>
      <c r="V23" s="70">
        <v>8.2712023038197167</v>
      </c>
      <c r="W23" s="66">
        <f t="shared" si="41"/>
        <v>-9.8581478624737429E-7</v>
      </c>
      <c r="X23" s="66">
        <f t="shared" si="14"/>
        <v>4.5951123910109537</v>
      </c>
      <c r="Y23" s="66">
        <f t="shared" si="15"/>
        <v>6.8367272618200943</v>
      </c>
    </row>
    <row r="24" spans="1:25" s="57" customFormat="1" ht="18" customHeight="1">
      <c r="A24" s="71">
        <f t="shared" si="40"/>
        <v>21</v>
      </c>
      <c r="B24" s="72" t="s">
        <v>23</v>
      </c>
      <c r="C24" s="58" t="s">
        <v>24</v>
      </c>
      <c r="D24" s="56" t="s">
        <v>11</v>
      </c>
      <c r="E24" s="60">
        <v>1</v>
      </c>
      <c r="F24" s="63">
        <v>4.0999999999999996</v>
      </c>
      <c r="G24" s="60">
        <v>3.5</v>
      </c>
      <c r="H24" s="63">
        <f t="shared" si="28"/>
        <v>3.5</v>
      </c>
      <c r="I24" s="64">
        <v>0.20811965811965813</v>
      </c>
      <c r="J24" s="63">
        <f t="shared" si="29"/>
        <v>3</v>
      </c>
      <c r="K24" s="64">
        <f t="shared" si="30"/>
        <v>4.875</v>
      </c>
      <c r="L24" s="65">
        <f t="shared" si="31"/>
        <v>5.8500000000000005</v>
      </c>
      <c r="M24" s="64">
        <f t="shared" si="32"/>
        <v>5.8766651128019118</v>
      </c>
      <c r="N24" s="64">
        <f t="shared" si="33"/>
        <v>1.0016651128019118</v>
      </c>
      <c r="O24" s="64">
        <f t="shared" si="34"/>
        <v>20.546976672859728</v>
      </c>
      <c r="P24" s="64">
        <f t="shared" si="35"/>
        <v>5.9557588067686386E-2</v>
      </c>
      <c r="Q24" s="64">
        <f t="shared" si="36"/>
        <v>1.2054697667285974</v>
      </c>
      <c r="R24" s="64">
        <f t="shared" si="37"/>
        <v>4.875</v>
      </c>
      <c r="S24" s="70">
        <f t="shared" si="38"/>
        <v>1.6666666666666665</v>
      </c>
      <c r="T24" s="66">
        <f t="shared" si="12"/>
        <v>17.5</v>
      </c>
      <c r="U24" s="66">
        <f t="shared" si="39"/>
        <v>16.755297344419048</v>
      </c>
      <c r="V24" s="70">
        <v>19.638344642057685</v>
      </c>
      <c r="W24" s="66">
        <f t="shared" si="41"/>
        <v>-9.6553409711930271E-7</v>
      </c>
      <c r="X24" s="66">
        <f t="shared" si="14"/>
        <v>10.910191467809826</v>
      </c>
      <c r="Y24" s="66">
        <f t="shared" si="15"/>
        <v>9.1732390325315691</v>
      </c>
    </row>
    <row r="25" spans="1:25" s="57" customFormat="1" ht="18" customHeight="1">
      <c r="A25" s="71">
        <f t="shared" si="40"/>
        <v>22</v>
      </c>
      <c r="B25" s="72" t="s">
        <v>88</v>
      </c>
      <c r="C25" s="58">
        <v>70</v>
      </c>
      <c r="D25" s="56" t="s">
        <v>21</v>
      </c>
      <c r="E25" s="60">
        <v>1</v>
      </c>
      <c r="F25" s="63">
        <v>5.0857142857142863</v>
      </c>
      <c r="G25" s="60">
        <v>2</v>
      </c>
      <c r="H25" s="63">
        <f t="shared" si="28"/>
        <v>2</v>
      </c>
      <c r="I25" s="64">
        <v>0.45769230769230773</v>
      </c>
      <c r="J25" s="63">
        <f t="shared" si="29"/>
        <v>4.2857142857142856</v>
      </c>
      <c r="K25" s="64">
        <f t="shared" si="30"/>
        <v>6.1928571428571431</v>
      </c>
      <c r="L25" s="65">
        <f t="shared" si="31"/>
        <v>5.2020000000000008</v>
      </c>
      <c r="M25" s="64">
        <f t="shared" si="32"/>
        <v>7.6566132909707711</v>
      </c>
      <c r="N25" s="64">
        <f t="shared" si="33"/>
        <v>1.4637561481136281</v>
      </c>
      <c r="O25" s="64">
        <f t="shared" si="34"/>
        <v>23.636200776921328</v>
      </c>
      <c r="P25" s="64">
        <f t="shared" si="35"/>
        <v>2.612120952168949E-2</v>
      </c>
      <c r="Q25" s="64">
        <f t="shared" si="36"/>
        <v>1.2363620077692132</v>
      </c>
      <c r="R25" s="64">
        <f t="shared" si="37"/>
        <v>6.1928571428571431</v>
      </c>
      <c r="S25" s="70">
        <f t="shared" si="38"/>
        <v>2.3809523809523809</v>
      </c>
      <c r="T25" s="66">
        <f t="shared" si="12"/>
        <v>10</v>
      </c>
      <c r="U25" s="66">
        <f t="shared" si="39"/>
        <v>8.6457062993563643</v>
      </c>
      <c r="V25" s="70">
        <v>7.7604094963151056</v>
      </c>
      <c r="W25" s="66">
        <f t="shared" si="41"/>
        <v>2.9309887850104133E-13</v>
      </c>
      <c r="X25" s="66">
        <f t="shared" si="14"/>
        <v>4.3113386090639478</v>
      </c>
      <c r="Y25" s="66">
        <f t="shared" si="15"/>
        <v>7.0904867389290214</v>
      </c>
    </row>
    <row r="26" spans="1:25" s="57" customFormat="1" ht="18" customHeight="1">
      <c r="A26" s="71">
        <f t="shared" si="40"/>
        <v>23</v>
      </c>
      <c r="B26" s="72" t="s">
        <v>89</v>
      </c>
      <c r="C26" s="58">
        <v>65</v>
      </c>
      <c r="D26" s="56" t="s">
        <v>9</v>
      </c>
      <c r="E26" s="60">
        <v>1</v>
      </c>
      <c r="F26" s="63">
        <v>4.2615384615384615</v>
      </c>
      <c r="G26" s="60">
        <v>1.8</v>
      </c>
      <c r="H26" s="63">
        <f t="shared" si="28"/>
        <v>1.8</v>
      </c>
      <c r="I26" s="64">
        <v>8.8333333333333333E-2</v>
      </c>
      <c r="J26" s="63">
        <f t="shared" si="29"/>
        <v>4.6153846153846159</v>
      </c>
      <c r="K26" s="64">
        <f t="shared" si="30"/>
        <v>5.453846153846154</v>
      </c>
      <c r="L26" s="65">
        <f t="shared" si="31"/>
        <v>4.2539999999999996</v>
      </c>
      <c r="M26" s="64">
        <f t="shared" si="32"/>
        <v>7.0988953493896672</v>
      </c>
      <c r="N26" s="64">
        <f t="shared" si="33"/>
        <v>1.6450491955435131</v>
      </c>
      <c r="O26" s="64">
        <f t="shared" si="34"/>
        <v>30.163102316030567</v>
      </c>
      <c r="P26" s="64">
        <f t="shared" si="35"/>
        <v>2.5356057687971927E-2</v>
      </c>
      <c r="Q26" s="64">
        <f t="shared" si="36"/>
        <v>1.3016310231603057</v>
      </c>
      <c r="R26" s="64">
        <f t="shared" si="37"/>
        <v>5.453846153846154</v>
      </c>
      <c r="S26" s="70">
        <f t="shared" si="38"/>
        <v>2.5641025641025643</v>
      </c>
      <c r="T26" s="66">
        <f t="shared" si="12"/>
        <v>9</v>
      </c>
      <c r="U26" s="66">
        <f t="shared" si="39"/>
        <v>7.4672211655815559</v>
      </c>
      <c r="V26" s="70">
        <v>7.4026275524605198</v>
      </c>
      <c r="W26" s="66">
        <f t="shared" si="41"/>
        <v>-9.898140529429611E-7</v>
      </c>
      <c r="X26" s="66">
        <f t="shared" si="14"/>
        <v>4.1125708624780666</v>
      </c>
      <c r="Y26" s="66">
        <f t="shared" si="15"/>
        <v>6.1738839125907621</v>
      </c>
    </row>
    <row r="27" spans="1:25" s="57" customFormat="1" ht="18" customHeight="1">
      <c r="A27" s="71">
        <f t="shared" si="40"/>
        <v>24</v>
      </c>
      <c r="B27" s="72" t="s">
        <v>90</v>
      </c>
      <c r="C27" s="58">
        <v>50</v>
      </c>
      <c r="D27" s="56" t="s">
        <v>9</v>
      </c>
      <c r="E27" s="60">
        <v>1</v>
      </c>
      <c r="F27" s="63">
        <v>3.7</v>
      </c>
      <c r="G27" s="60">
        <v>1.5</v>
      </c>
      <c r="H27" s="63">
        <f t="shared" si="28"/>
        <v>1.5</v>
      </c>
      <c r="I27" s="64">
        <v>7.6068376068376062E-2</v>
      </c>
      <c r="J27" s="63">
        <f t="shared" si="29"/>
        <v>6</v>
      </c>
      <c r="K27" s="64">
        <f t="shared" si="30"/>
        <v>5.25</v>
      </c>
      <c r="L27" s="65">
        <f t="shared" si="31"/>
        <v>3.1500000000000004</v>
      </c>
      <c r="M27" s="64">
        <f t="shared" si="32"/>
        <v>7.5415481953301464</v>
      </c>
      <c r="N27" s="64">
        <f t="shared" si="33"/>
        <v>2.2915481953301464</v>
      </c>
      <c r="O27" s="64">
        <f t="shared" si="34"/>
        <v>43.648537053907546</v>
      </c>
      <c r="P27" s="64">
        <f t="shared" si="35"/>
        <v>1.988981520967837E-2</v>
      </c>
      <c r="Q27" s="64">
        <f t="shared" si="36"/>
        <v>1.4364853705390754</v>
      </c>
      <c r="R27" s="64">
        <f t="shared" si="37"/>
        <v>5.25</v>
      </c>
      <c r="S27" s="70">
        <f t="shared" si="38"/>
        <v>3.333333333333333</v>
      </c>
      <c r="T27" s="66">
        <f t="shared" si="12"/>
        <v>7.5000000000000009</v>
      </c>
      <c r="U27" s="66">
        <f t="shared" si="39"/>
        <v>5.2291877533948838</v>
      </c>
      <c r="V27" s="70">
        <v>5.972408285788811</v>
      </c>
      <c r="W27" s="66">
        <f t="shared" si="41"/>
        <v>1.3187140268655639E-10</v>
      </c>
      <c r="X27" s="66">
        <f t="shared" si="14"/>
        <v>3.3180046032160062</v>
      </c>
      <c r="Y27" s="66">
        <f t="shared" si="15"/>
        <v>5.242872140495443</v>
      </c>
    </row>
    <row r="28" spans="1:25" s="57" customFormat="1" ht="18" customHeight="1">
      <c r="A28" s="71">
        <f t="shared" si="40"/>
        <v>25</v>
      </c>
      <c r="B28" s="72" t="s">
        <v>25</v>
      </c>
      <c r="C28" s="58">
        <v>40</v>
      </c>
      <c r="D28" s="56" t="s">
        <v>21</v>
      </c>
      <c r="E28" s="60">
        <v>1</v>
      </c>
      <c r="F28" s="63">
        <v>6.5</v>
      </c>
      <c r="G28" s="60">
        <v>3.8</v>
      </c>
      <c r="H28" s="63">
        <f t="shared" si="28"/>
        <v>3.8</v>
      </c>
      <c r="I28" s="64">
        <v>0.45769230769230773</v>
      </c>
      <c r="J28" s="63">
        <f t="shared" si="29"/>
        <v>7.5</v>
      </c>
      <c r="K28" s="64">
        <f t="shared" si="30"/>
        <v>8.4375</v>
      </c>
      <c r="L28" s="65">
        <f t="shared" si="31"/>
        <v>4.05</v>
      </c>
      <c r="M28" s="64">
        <f t="shared" si="32"/>
        <v>11.140257462592233</v>
      </c>
      <c r="N28" s="64">
        <f t="shared" si="33"/>
        <v>2.702757462592233</v>
      </c>
      <c r="O28" s="64">
        <f t="shared" si="34"/>
        <v>32.032681038130164</v>
      </c>
      <c r="P28" s="64">
        <f t="shared" si="35"/>
        <v>3.4110522245648131E-2</v>
      </c>
      <c r="Q28" s="64">
        <f t="shared" si="36"/>
        <v>1.3203268103813017</v>
      </c>
      <c r="R28" s="64">
        <f t="shared" si="37"/>
        <v>8.4375</v>
      </c>
      <c r="S28" s="70">
        <f t="shared" si="38"/>
        <v>4.166666666666667</v>
      </c>
      <c r="T28" s="66">
        <f t="shared" si="12"/>
        <v>19</v>
      </c>
      <c r="U28" s="66">
        <f t="shared" si="39"/>
        <v>16.682461027193753</v>
      </c>
      <c r="V28" s="70">
        <v>18.823914659328569</v>
      </c>
      <c r="W28" s="66">
        <f t="shared" si="41"/>
        <v>0</v>
      </c>
      <c r="X28" s="66">
        <f t="shared" si="14"/>
        <v>10.457730366293649</v>
      </c>
      <c r="Y28" s="66">
        <f t="shared" si="15"/>
        <v>11.362844620326547</v>
      </c>
    </row>
    <row r="29" spans="1:25" s="57" customFormat="1" ht="18" customHeight="1">
      <c r="A29" s="71">
        <f t="shared" si="40"/>
        <v>26</v>
      </c>
      <c r="B29" s="72" t="s">
        <v>26</v>
      </c>
      <c r="C29" s="58">
        <v>40</v>
      </c>
      <c r="D29" s="56" t="s">
        <v>27</v>
      </c>
      <c r="E29" s="60">
        <v>1</v>
      </c>
      <c r="F29" s="63">
        <v>10.75</v>
      </c>
      <c r="G29" s="60">
        <v>8</v>
      </c>
      <c r="H29" s="63">
        <f t="shared" si="28"/>
        <v>8</v>
      </c>
      <c r="I29" s="64">
        <v>0.84914529914529913</v>
      </c>
      <c r="J29" s="63">
        <f t="shared" si="29"/>
        <v>7.5</v>
      </c>
      <c r="K29" s="64">
        <f t="shared" si="30"/>
        <v>12.6875</v>
      </c>
      <c r="L29" s="65">
        <f t="shared" si="31"/>
        <v>6.0900000000000007</v>
      </c>
      <c r="M29" s="64">
        <f t="shared" si="32"/>
        <v>15.173379389207041</v>
      </c>
      <c r="N29" s="64">
        <f t="shared" si="33"/>
        <v>2.4858793892070405</v>
      </c>
      <c r="O29" s="64">
        <f t="shared" si="34"/>
        <v>19.593138043011159</v>
      </c>
      <c r="P29" s="64">
        <f t="shared" si="35"/>
        <v>5.2723917294854379E-2</v>
      </c>
      <c r="Q29" s="64">
        <f t="shared" si="36"/>
        <v>1.1959313804301115</v>
      </c>
      <c r="R29" s="64">
        <f t="shared" si="37"/>
        <v>12.6875</v>
      </c>
      <c r="S29" s="70">
        <f t="shared" si="38"/>
        <v>4.166666666666667</v>
      </c>
      <c r="T29" s="66">
        <f t="shared" si="12"/>
        <v>40</v>
      </c>
      <c r="U29" s="66">
        <f t="shared" si="39"/>
        <v>38.094820258711358</v>
      </c>
      <c r="V29" s="70">
        <v>43.231868568928334</v>
      </c>
      <c r="W29" s="66">
        <f t="shared" si="41"/>
        <v>2.2737367544323206E-13</v>
      </c>
      <c r="X29" s="66">
        <f t="shared" si="14"/>
        <v>24.017704760515741</v>
      </c>
      <c r="Y29" s="66">
        <f t="shared" si="15"/>
        <v>21.918232713639821</v>
      </c>
    </row>
    <row r="30" spans="1:25" s="57" customFormat="1" ht="18" customHeight="1">
      <c r="A30" s="71">
        <f t="shared" si="40"/>
        <v>27</v>
      </c>
      <c r="B30" s="72" t="s">
        <v>91</v>
      </c>
      <c r="C30" s="58">
        <v>35</v>
      </c>
      <c r="D30" s="56" t="s">
        <v>9</v>
      </c>
      <c r="E30" s="60">
        <v>1</v>
      </c>
      <c r="F30" s="63">
        <v>6.7142857142857144</v>
      </c>
      <c r="G30" s="60">
        <v>1.8</v>
      </c>
      <c r="H30" s="63">
        <f t="shared" si="28"/>
        <v>1.8</v>
      </c>
      <c r="I30" s="64">
        <v>0.08</v>
      </c>
      <c r="J30" s="63">
        <f t="shared" si="29"/>
        <v>8.5714285714285712</v>
      </c>
      <c r="K30" s="64">
        <f t="shared" si="30"/>
        <v>8.9285714285714288</v>
      </c>
      <c r="L30" s="65">
        <f t="shared" si="31"/>
        <v>3.7500000000000004</v>
      </c>
      <c r="M30" s="64">
        <f t="shared" si="32"/>
        <v>12.072085317344543</v>
      </c>
      <c r="N30" s="64">
        <f t="shared" si="33"/>
        <v>3.1435138887731142</v>
      </c>
      <c r="O30" s="64">
        <f t="shared" si="34"/>
        <v>35.207355554258882</v>
      </c>
      <c r="P30" s="64">
        <f t="shared" si="35"/>
        <v>1.4910431401721904E-2</v>
      </c>
      <c r="Q30" s="64">
        <f t="shared" si="36"/>
        <v>1.3520735555425887</v>
      </c>
      <c r="R30" s="64">
        <f t="shared" si="37"/>
        <v>8.9285714285714288</v>
      </c>
      <c r="S30" s="70">
        <f t="shared" si="38"/>
        <v>4.7619047619047619</v>
      </c>
      <c r="T30" s="66">
        <f>0.1*E30*G30/0.02</f>
        <v>9</v>
      </c>
      <c r="U30" s="66">
        <f t="shared" si="39"/>
        <v>5.5685035148437976</v>
      </c>
      <c r="V30" s="70">
        <v>3.9634492165500048</v>
      </c>
      <c r="W30" s="66">
        <f t="shared" si="41"/>
        <v>-9.8460161623847853E-7</v>
      </c>
      <c r="X30" s="66">
        <f t="shared" si="14"/>
        <v>2.2019162314166691</v>
      </c>
      <c r="Y30" s="66">
        <f t="shared" si="15"/>
        <v>7.7381767618944659</v>
      </c>
    </row>
    <row r="31" spans="1:25" s="57" customFormat="1" ht="18" customHeight="1">
      <c r="A31" s="71">
        <f t="shared" si="40"/>
        <v>28</v>
      </c>
      <c r="B31" s="72" t="s">
        <v>92</v>
      </c>
      <c r="C31" s="58">
        <v>35</v>
      </c>
      <c r="D31" s="56" t="s">
        <v>27</v>
      </c>
      <c r="E31" s="60">
        <v>1</v>
      </c>
      <c r="F31" s="63">
        <v>5.8571428571428577</v>
      </c>
      <c r="G31" s="60">
        <v>7.8</v>
      </c>
      <c r="H31" s="63">
        <f t="shared" si="28"/>
        <v>7.8</v>
      </c>
      <c r="I31" s="64">
        <v>0.81666666666666665</v>
      </c>
      <c r="J31" s="63">
        <f t="shared" si="29"/>
        <v>8.5714285714285712</v>
      </c>
      <c r="K31" s="64">
        <f t="shared" si="30"/>
        <v>8.071428571428573</v>
      </c>
      <c r="L31" s="65">
        <f t="shared" si="31"/>
        <v>3.390000000000001</v>
      </c>
      <c r="M31" s="64">
        <f t="shared" si="32"/>
        <v>11.289369517851764</v>
      </c>
      <c r="N31" s="64">
        <f t="shared" si="33"/>
        <v>3.217940946423191</v>
      </c>
      <c r="O31" s="64">
        <f t="shared" si="34"/>
        <v>39.868294911437758</v>
      </c>
      <c r="P31" s="64">
        <f t="shared" si="35"/>
        <v>6.9091546588726155E-2</v>
      </c>
      <c r="Q31" s="64">
        <f t="shared" si="36"/>
        <v>1.3986829491143775</v>
      </c>
      <c r="R31" s="64">
        <f t="shared" si="37"/>
        <v>8.071428571428573</v>
      </c>
      <c r="S31" s="70">
        <f t="shared" si="38"/>
        <v>4.7619047619047619</v>
      </c>
      <c r="T31" s="66">
        <f t="shared" si="12"/>
        <v>39</v>
      </c>
      <c r="U31" s="66">
        <f t="shared" si="39"/>
        <v>36.731354604006007</v>
      </c>
      <c r="V31" s="70">
        <v>47.609341998228501</v>
      </c>
      <c r="W31" s="66">
        <f t="shared" si="41"/>
        <v>5.6843418860808015E-14</v>
      </c>
      <c r="X31" s="66">
        <f t="shared" si="14"/>
        <v>26.449634443460276</v>
      </c>
      <c r="Y31" s="66">
        <f t="shared" si="15"/>
        <v>18.156222873351886</v>
      </c>
    </row>
    <row r="32" spans="1:25" s="57" customFormat="1" ht="18" customHeight="1">
      <c r="A32" s="71">
        <f t="shared" si="40"/>
        <v>29</v>
      </c>
      <c r="B32" s="72" t="s">
        <v>93</v>
      </c>
      <c r="C32" s="58">
        <v>25</v>
      </c>
      <c r="D32" s="56" t="s">
        <v>9</v>
      </c>
      <c r="E32" s="60">
        <v>1</v>
      </c>
      <c r="F32" s="63">
        <v>7.4</v>
      </c>
      <c r="G32" s="60">
        <v>1.8</v>
      </c>
      <c r="H32" s="63">
        <f t="shared" si="28"/>
        <v>1.8</v>
      </c>
      <c r="I32" s="64">
        <v>7.8333333333333324E-2</v>
      </c>
      <c r="J32" s="63">
        <f t="shared" si="29"/>
        <v>12</v>
      </c>
      <c r="K32" s="64">
        <f t="shared" si="30"/>
        <v>10.5</v>
      </c>
      <c r="L32" s="65">
        <f t="shared" si="31"/>
        <v>3.1500000000000004</v>
      </c>
      <c r="M32" s="64">
        <f t="shared" si="32"/>
        <v>15.083096390660293</v>
      </c>
      <c r="N32" s="64">
        <f t="shared" si="33"/>
        <v>4.5830963906602928</v>
      </c>
      <c r="O32" s="64">
        <f t="shared" si="34"/>
        <v>43.648537053907546</v>
      </c>
      <c r="P32" s="64">
        <f t="shared" si="35"/>
        <v>1.1933889125807022E-2</v>
      </c>
      <c r="Q32" s="64">
        <f t="shared" si="36"/>
        <v>1.4364853705390754</v>
      </c>
      <c r="R32" s="64">
        <f t="shared" si="37"/>
        <v>10.5</v>
      </c>
      <c r="S32" s="70">
        <f t="shared" si="38"/>
        <v>6.6666666666666661</v>
      </c>
      <c r="T32" s="66">
        <f t="shared" si="12"/>
        <v>9</v>
      </c>
      <c r="U32" s="66">
        <f t="shared" si="39"/>
        <v>3.5518657322265748</v>
      </c>
      <c r="V32" s="70">
        <v>2.9035218988305154</v>
      </c>
      <c r="W32" s="66">
        <f t="shared" si="41"/>
        <v>-9.7241969321260058E-7</v>
      </c>
      <c r="X32" s="66">
        <f t="shared" si="14"/>
        <v>1.6130677215725084</v>
      </c>
      <c r="Y32" s="66">
        <f t="shared" si="15"/>
        <v>8.150076490531216</v>
      </c>
    </row>
    <row r="33" spans="1:25" s="57" customFormat="1" ht="18" customHeight="1">
      <c r="A33" s="71">
        <f t="shared" si="40"/>
        <v>30</v>
      </c>
      <c r="B33" s="72" t="s">
        <v>94</v>
      </c>
      <c r="C33" s="58">
        <v>25</v>
      </c>
      <c r="D33" s="56" t="s">
        <v>9</v>
      </c>
      <c r="E33" s="60">
        <v>1</v>
      </c>
      <c r="F33" s="63">
        <v>7.4</v>
      </c>
      <c r="G33" s="60">
        <v>1.5</v>
      </c>
      <c r="H33" s="63">
        <f t="shared" si="28"/>
        <v>1.5</v>
      </c>
      <c r="I33" s="64">
        <v>7.0789473684210527E-2</v>
      </c>
      <c r="J33" s="63">
        <f t="shared" si="29"/>
        <v>12</v>
      </c>
      <c r="K33" s="64">
        <f t="shared" si="30"/>
        <v>10.5</v>
      </c>
      <c r="L33" s="65">
        <f t="shared" si="31"/>
        <v>3.1500000000000004</v>
      </c>
      <c r="M33" s="64">
        <f t="shared" si="32"/>
        <v>15.083096390660293</v>
      </c>
      <c r="N33" s="64">
        <f t="shared" si="33"/>
        <v>4.5830963906602928</v>
      </c>
      <c r="O33" s="64">
        <f t="shared" si="34"/>
        <v>43.648537053907546</v>
      </c>
      <c r="P33" s="64">
        <f t="shared" si="35"/>
        <v>9.944907604839185E-3</v>
      </c>
      <c r="Q33" s="64">
        <f t="shared" si="36"/>
        <v>1.4364853705390754</v>
      </c>
      <c r="R33" s="64">
        <f t="shared" si="37"/>
        <v>10.5</v>
      </c>
      <c r="S33" s="70">
        <f t="shared" si="38"/>
        <v>6.6666666666666661</v>
      </c>
      <c r="T33" s="66">
        <f t="shared" si="12"/>
        <v>7.5000000000000009</v>
      </c>
      <c r="U33" s="67">
        <f t="shared" si="39"/>
        <v>1.5282448727655453</v>
      </c>
      <c r="V33" s="68">
        <v>2</v>
      </c>
      <c r="W33" s="66">
        <f t="shared" si="41"/>
        <v>-2.0085854201333184</v>
      </c>
      <c r="X33" s="66">
        <f t="shared" si="14"/>
        <v>1.1111111111111112</v>
      </c>
      <c r="Y33" s="66">
        <f t="shared" si="15"/>
        <v>7.916666666666667</v>
      </c>
    </row>
    <row r="34" spans="1:25" s="57" customFormat="1" ht="18" customHeight="1">
      <c r="A34" s="71">
        <f t="shared" si="40"/>
        <v>31</v>
      </c>
      <c r="B34" s="72" t="s">
        <v>95</v>
      </c>
      <c r="C34" s="58">
        <v>25</v>
      </c>
      <c r="D34" s="56" t="s">
        <v>21</v>
      </c>
      <c r="E34" s="60">
        <v>1</v>
      </c>
      <c r="F34" s="63">
        <v>8.6</v>
      </c>
      <c r="G34" s="60">
        <v>3.3</v>
      </c>
      <c r="H34" s="63">
        <f t="shared" si="28"/>
        <v>3.3</v>
      </c>
      <c r="I34" s="64">
        <v>0.32083333333333341</v>
      </c>
      <c r="J34" s="63">
        <f t="shared" si="29"/>
        <v>12</v>
      </c>
      <c r="K34" s="64">
        <f t="shared" si="30"/>
        <v>11.7</v>
      </c>
      <c r="L34" s="65">
        <f t="shared" si="31"/>
        <v>3.51</v>
      </c>
      <c r="M34" s="64">
        <f t="shared" si="32"/>
        <v>16.168766443461823</v>
      </c>
      <c r="N34" s="64">
        <f t="shared" si="33"/>
        <v>4.4687664434618242</v>
      </c>
      <c r="O34" s="64">
        <f t="shared" si="34"/>
        <v>38.194584986853201</v>
      </c>
      <c r="P34" s="64">
        <f t="shared" si="35"/>
        <v>2.0409720256268676E-2</v>
      </c>
      <c r="Q34" s="64">
        <f t="shared" si="36"/>
        <v>1.381945849868532</v>
      </c>
      <c r="R34" s="64">
        <f t="shared" si="37"/>
        <v>11.7</v>
      </c>
      <c r="S34" s="70">
        <f t="shared" si="38"/>
        <v>6.6666666666666661</v>
      </c>
      <c r="T34" s="66">
        <f t="shared" si="12"/>
        <v>16.5</v>
      </c>
      <c r="U34" s="66">
        <f t="shared" si="39"/>
        <v>12.089299659499829</v>
      </c>
      <c r="V34" s="70">
        <v>12.525411376686014</v>
      </c>
      <c r="W34" s="66">
        <f t="shared" si="41"/>
        <v>3.2826701357180355E-8</v>
      </c>
      <c r="X34" s="66">
        <f t="shared" si="14"/>
        <v>6.9585618759366739</v>
      </c>
      <c r="Y34" s="66">
        <f t="shared" si="15"/>
        <v>11.835731272310554</v>
      </c>
    </row>
    <row r="35" spans="1:25" s="57" customFormat="1" ht="18" customHeight="1">
      <c r="A35" s="71">
        <f t="shared" si="40"/>
        <v>32</v>
      </c>
      <c r="B35" s="72" t="s">
        <v>96</v>
      </c>
      <c r="C35" s="58">
        <v>25</v>
      </c>
      <c r="D35" s="56" t="s">
        <v>9</v>
      </c>
      <c r="E35" s="60">
        <v>1</v>
      </c>
      <c r="F35" s="63">
        <v>7.4</v>
      </c>
      <c r="G35" s="60">
        <v>1.5</v>
      </c>
      <c r="H35" s="63">
        <f t="shared" si="28"/>
        <v>1.5</v>
      </c>
      <c r="I35" s="64">
        <v>7.0789473684210527E-2</v>
      </c>
      <c r="J35" s="63">
        <f t="shared" si="29"/>
        <v>12</v>
      </c>
      <c r="K35" s="64">
        <f t="shared" si="30"/>
        <v>10.5</v>
      </c>
      <c r="L35" s="65">
        <f t="shared" si="31"/>
        <v>3.1500000000000004</v>
      </c>
      <c r="M35" s="64">
        <f t="shared" si="32"/>
        <v>15.083096390660293</v>
      </c>
      <c r="N35" s="64">
        <f t="shared" si="33"/>
        <v>4.5830963906602928</v>
      </c>
      <c r="O35" s="64">
        <f t="shared" si="34"/>
        <v>43.648537053907546</v>
      </c>
      <c r="P35" s="64">
        <f t="shared" si="35"/>
        <v>9.944907604839185E-3</v>
      </c>
      <c r="Q35" s="64">
        <f t="shared" si="36"/>
        <v>1.4364853705390754</v>
      </c>
      <c r="R35" s="64">
        <f t="shared" si="37"/>
        <v>10.5</v>
      </c>
      <c r="S35" s="70">
        <f t="shared" si="38"/>
        <v>6.6666666666666661</v>
      </c>
      <c r="T35" s="66">
        <f t="shared" si="12"/>
        <v>7.5000000000000009</v>
      </c>
      <c r="U35" s="67">
        <f t="shared" si="39"/>
        <v>1.5282448727655453</v>
      </c>
      <c r="V35" s="68">
        <v>2</v>
      </c>
      <c r="W35" s="66">
        <f t="shared" si="41"/>
        <v>-2.0085854201333184</v>
      </c>
      <c r="X35" s="66">
        <f t="shared" si="14"/>
        <v>1.1111111111111112</v>
      </c>
      <c r="Y35" s="66">
        <f t="shared" si="15"/>
        <v>7.916666666666667</v>
      </c>
    </row>
    <row r="36" spans="1:25" s="57" customFormat="1" ht="18" customHeight="1">
      <c r="A36" s="71">
        <f t="shared" si="40"/>
        <v>33</v>
      </c>
      <c r="B36" s="72" t="s">
        <v>97</v>
      </c>
      <c r="C36" s="58">
        <v>25</v>
      </c>
      <c r="D36" s="56" t="s">
        <v>21</v>
      </c>
      <c r="E36" s="60">
        <v>1</v>
      </c>
      <c r="F36" s="63">
        <v>8.6</v>
      </c>
      <c r="G36" s="60">
        <v>4.5</v>
      </c>
      <c r="H36" s="63">
        <f t="shared" si="28"/>
        <v>4.5</v>
      </c>
      <c r="I36" s="64">
        <v>0.36388888888888882</v>
      </c>
      <c r="J36" s="63">
        <f t="shared" si="29"/>
        <v>12</v>
      </c>
      <c r="K36" s="64">
        <f t="shared" si="30"/>
        <v>11.7</v>
      </c>
      <c r="L36" s="65">
        <f t="shared" si="31"/>
        <v>3.51</v>
      </c>
      <c r="M36" s="64">
        <f t="shared" si="32"/>
        <v>16.168766443461823</v>
      </c>
      <c r="N36" s="64">
        <f t="shared" si="33"/>
        <v>4.4687664434618242</v>
      </c>
      <c r="O36" s="64">
        <f t="shared" si="34"/>
        <v>38.194584986853201</v>
      </c>
      <c r="P36" s="64">
        <f t="shared" si="35"/>
        <v>2.7831436713093648E-2</v>
      </c>
      <c r="Q36" s="64">
        <f t="shared" si="36"/>
        <v>1.381945849868532</v>
      </c>
      <c r="R36" s="64">
        <f t="shared" si="37"/>
        <v>11.7</v>
      </c>
      <c r="S36" s="70">
        <f t="shared" si="38"/>
        <v>6.6666666666666661</v>
      </c>
      <c r="T36" s="66">
        <f t="shared" si="12"/>
        <v>22.5</v>
      </c>
      <c r="U36" s="66">
        <f t="shared" si="39"/>
        <v>18.470537680621781</v>
      </c>
      <c r="V36" s="70">
        <v>21.157465766899911</v>
      </c>
      <c r="W36" s="66">
        <f t="shared" si="41"/>
        <v>-9.7875685867165885E-7</v>
      </c>
      <c r="X36" s="66">
        <f t="shared" si="14"/>
        <v>11.754147648277728</v>
      </c>
      <c r="Y36" s="66">
        <f t="shared" si="15"/>
        <v>14.065678656449144</v>
      </c>
    </row>
    <row r="37" spans="1:25" s="57" customFormat="1" ht="18" customHeight="1">
      <c r="A37" s="71">
        <f t="shared" si="40"/>
        <v>34</v>
      </c>
      <c r="B37" s="72" t="s">
        <v>98</v>
      </c>
      <c r="C37" s="58">
        <v>25</v>
      </c>
      <c r="D37" s="56" t="s">
        <v>21</v>
      </c>
      <c r="E37" s="60">
        <v>1</v>
      </c>
      <c r="F37" s="63">
        <v>8.6</v>
      </c>
      <c r="G37" s="60">
        <v>3.5</v>
      </c>
      <c r="H37" s="63">
        <f t="shared" si="28"/>
        <v>3.5</v>
      </c>
      <c r="I37" s="64">
        <v>0.43333333333333335</v>
      </c>
      <c r="J37" s="63">
        <f t="shared" si="29"/>
        <v>12</v>
      </c>
      <c r="K37" s="64">
        <f t="shared" si="30"/>
        <v>11.7</v>
      </c>
      <c r="L37" s="65">
        <f t="shared" si="31"/>
        <v>3.51</v>
      </c>
      <c r="M37" s="64">
        <f t="shared" si="32"/>
        <v>16.168766443461823</v>
      </c>
      <c r="N37" s="64">
        <f t="shared" si="33"/>
        <v>4.4687664434618242</v>
      </c>
      <c r="O37" s="64">
        <f t="shared" si="34"/>
        <v>38.194584986853201</v>
      </c>
      <c r="P37" s="64">
        <f t="shared" si="35"/>
        <v>2.1646672999072841E-2</v>
      </c>
      <c r="Q37" s="64">
        <f t="shared" si="36"/>
        <v>1.381945849868532</v>
      </c>
      <c r="R37" s="64">
        <f t="shared" si="37"/>
        <v>11.7</v>
      </c>
      <c r="S37" s="70">
        <f t="shared" si="38"/>
        <v>6.6666666666666661</v>
      </c>
      <c r="T37" s="66">
        <f t="shared" si="12"/>
        <v>17.5</v>
      </c>
      <c r="U37" s="66">
        <f t="shared" si="39"/>
        <v>13.166489995861321</v>
      </c>
      <c r="V37" s="70">
        <v>13.979819586017268</v>
      </c>
      <c r="W37" s="66">
        <f t="shared" si="41"/>
        <v>-9.7972879942176405E-7</v>
      </c>
      <c r="X37" s="66">
        <f t="shared" si="14"/>
        <v>7.7665664366762597</v>
      </c>
      <c r="Y37" s="66">
        <f t="shared" si="15"/>
        <v>12.211453393054461</v>
      </c>
    </row>
    <row r="38" spans="1:25" s="57" customFormat="1" ht="18" customHeight="1">
      <c r="A38" s="71">
        <f t="shared" si="40"/>
        <v>35</v>
      </c>
      <c r="B38" s="72" t="s">
        <v>99</v>
      </c>
      <c r="C38" s="58" t="s">
        <v>28</v>
      </c>
      <c r="D38" s="56" t="s">
        <v>9</v>
      </c>
      <c r="E38" s="60">
        <v>1</v>
      </c>
      <c r="F38" s="63">
        <v>3.7</v>
      </c>
      <c r="G38" s="60">
        <v>1.5</v>
      </c>
      <c r="H38" s="63">
        <f t="shared" si="28"/>
        <v>1.5</v>
      </c>
      <c r="I38" s="64">
        <v>7.6068376068376062E-2</v>
      </c>
      <c r="J38" s="63">
        <f t="shared" si="29"/>
        <v>12</v>
      </c>
      <c r="K38" s="64">
        <f t="shared" si="30"/>
        <v>6.8000000000000007</v>
      </c>
      <c r="L38" s="65">
        <f t="shared" si="31"/>
        <v>2.0400000000000005</v>
      </c>
      <c r="M38" s="64">
        <f t="shared" si="32"/>
        <v>11.856119316580941</v>
      </c>
      <c r="N38" s="64">
        <f t="shared" si="33"/>
        <v>5.0561193165809399</v>
      </c>
      <c r="O38" s="64">
        <f t="shared" si="34"/>
        <v>74.354695832072636</v>
      </c>
      <c r="P38" s="64">
        <f t="shared" si="35"/>
        <v>1.2651694538045263E-2</v>
      </c>
      <c r="Q38" s="64">
        <f t="shared" si="36"/>
        <v>1.7435469583207264</v>
      </c>
      <c r="R38" s="64">
        <f t="shared" si="37"/>
        <v>6.8000000000000007</v>
      </c>
      <c r="S38" s="70">
        <f t="shared" si="38"/>
        <v>6.6666666666666661</v>
      </c>
      <c r="T38" s="66">
        <f t="shared" si="12"/>
        <v>7.5000000000000009</v>
      </c>
      <c r="U38" s="66">
        <f t="shared" si="39"/>
        <v>1.5282448727655453</v>
      </c>
      <c r="V38" s="70">
        <v>5.9724089699991776</v>
      </c>
      <c r="W38" s="66">
        <f t="shared" si="41"/>
        <v>-9.7547398336672586E-7</v>
      </c>
      <c r="X38" s="66">
        <f t="shared" si="14"/>
        <v>3.3180049833328762</v>
      </c>
      <c r="Y38" s="66">
        <f t="shared" si="15"/>
        <v>5.2428723172497875</v>
      </c>
    </row>
    <row r="39" spans="1:25" s="57" customFormat="1" ht="18" customHeight="1">
      <c r="A39" s="71">
        <f t="shared" si="40"/>
        <v>36</v>
      </c>
      <c r="B39" s="72" t="s">
        <v>100</v>
      </c>
      <c r="C39" s="58">
        <v>20</v>
      </c>
      <c r="D39" s="56" t="s">
        <v>21</v>
      </c>
      <c r="E39" s="60">
        <v>1</v>
      </c>
      <c r="F39" s="63">
        <v>9.5</v>
      </c>
      <c r="G39" s="60">
        <v>3.3</v>
      </c>
      <c r="H39" s="63">
        <f t="shared" si="28"/>
        <v>3.3</v>
      </c>
      <c r="I39" s="64">
        <v>0.36388888888888882</v>
      </c>
      <c r="J39" s="63">
        <f t="shared" si="29"/>
        <v>15</v>
      </c>
      <c r="K39" s="64">
        <f t="shared" si="30"/>
        <v>13.375</v>
      </c>
      <c r="L39" s="65">
        <f t="shared" si="31"/>
        <v>3.21</v>
      </c>
      <c r="M39" s="64">
        <f t="shared" si="32"/>
        <v>19.078642801228774</v>
      </c>
      <c r="N39" s="64">
        <f t="shared" si="33"/>
        <v>5.7036428012287743</v>
      </c>
      <c r="O39" s="64">
        <f t="shared" si="34"/>
        <v>42.644058326944105</v>
      </c>
      <c r="P39" s="64">
        <f t="shared" si="35"/>
        <v>1.7296827842426303E-2</v>
      </c>
      <c r="Q39" s="64">
        <f t="shared" si="36"/>
        <v>1.4264405832694411</v>
      </c>
      <c r="R39" s="64">
        <f t="shared" si="37"/>
        <v>13.375</v>
      </c>
      <c r="S39" s="70">
        <f t="shared" si="38"/>
        <v>8.3333333333333339</v>
      </c>
      <c r="T39" s="66">
        <f t="shared" si="12"/>
        <v>16.5</v>
      </c>
      <c r="U39" s="66">
        <f t="shared" si="39"/>
        <v>10.586600606662849</v>
      </c>
      <c r="V39" s="70">
        <v>11.302265078661149</v>
      </c>
      <c r="W39" s="66">
        <f t="shared" si="41"/>
        <v>-9.8159411265896779E-7</v>
      </c>
      <c r="X39" s="66">
        <f t="shared" si="14"/>
        <v>6.2790361548117488</v>
      </c>
      <c r="Y39" s="66">
        <f t="shared" si="15"/>
        <v>12.419751811987464</v>
      </c>
    </row>
    <row r="40" spans="1:25" s="57" customFormat="1" ht="18" customHeight="1">
      <c r="A40" s="71">
        <f t="shared" si="40"/>
        <v>37</v>
      </c>
      <c r="B40" s="72" t="s">
        <v>101</v>
      </c>
      <c r="C40" s="58">
        <v>20</v>
      </c>
      <c r="D40" s="56" t="s">
        <v>21</v>
      </c>
      <c r="E40" s="60">
        <v>1</v>
      </c>
      <c r="F40" s="63">
        <v>9.5</v>
      </c>
      <c r="G40" s="60">
        <v>3.3</v>
      </c>
      <c r="H40" s="63">
        <f t="shared" si="28"/>
        <v>3.3</v>
      </c>
      <c r="I40" s="64">
        <v>0.44122807017543858</v>
      </c>
      <c r="J40" s="63">
        <f t="shared" si="29"/>
        <v>15</v>
      </c>
      <c r="K40" s="64">
        <f t="shared" si="30"/>
        <v>13.375</v>
      </c>
      <c r="L40" s="65">
        <f t="shared" si="31"/>
        <v>3.21</v>
      </c>
      <c r="M40" s="64">
        <f t="shared" si="32"/>
        <v>19.078642801228774</v>
      </c>
      <c r="N40" s="64">
        <f t="shared" si="33"/>
        <v>5.7036428012287743</v>
      </c>
      <c r="O40" s="64">
        <f t="shared" si="34"/>
        <v>42.644058326944105</v>
      </c>
      <c r="P40" s="64">
        <f t="shared" si="35"/>
        <v>1.7296827842426303E-2</v>
      </c>
      <c r="Q40" s="64">
        <f t="shared" si="36"/>
        <v>1.4264405832694411</v>
      </c>
      <c r="R40" s="64">
        <f t="shared" si="37"/>
        <v>13.375</v>
      </c>
      <c r="S40" s="70">
        <f t="shared" si="38"/>
        <v>8.3333333333333339</v>
      </c>
      <c r="T40" s="66">
        <f t="shared" si="12"/>
        <v>16.5</v>
      </c>
      <c r="U40" s="66">
        <f t="shared" si="39"/>
        <v>10.586600606662849</v>
      </c>
      <c r="V40" s="70">
        <v>11.302265078661149</v>
      </c>
      <c r="W40" s="66">
        <f t="shared" si="41"/>
        <v>-9.8159411265896779E-7</v>
      </c>
      <c r="X40" s="66">
        <f t="shared" si="14"/>
        <v>6.2790361548117488</v>
      </c>
      <c r="Y40" s="66">
        <f t="shared" si="15"/>
        <v>12.419751811987464</v>
      </c>
    </row>
    <row r="41" spans="1:25" s="57" customFormat="1" ht="18" customHeight="1">
      <c r="A41" s="71">
        <f t="shared" si="40"/>
        <v>38</v>
      </c>
      <c r="B41" s="72" t="s">
        <v>102</v>
      </c>
      <c r="C41" s="58">
        <v>20</v>
      </c>
      <c r="D41" s="56" t="s">
        <v>21</v>
      </c>
      <c r="E41" s="60">
        <v>1</v>
      </c>
      <c r="F41" s="63">
        <v>6.8</v>
      </c>
      <c r="G41" s="60">
        <v>3.3</v>
      </c>
      <c r="H41" s="63">
        <f t="shared" si="28"/>
        <v>3.3</v>
      </c>
      <c r="I41" s="64">
        <v>0.45769230769230773</v>
      </c>
      <c r="J41" s="63">
        <f t="shared" si="29"/>
        <v>15</v>
      </c>
      <c r="K41" s="64">
        <f t="shared" si="30"/>
        <v>10.675000000000001</v>
      </c>
      <c r="L41" s="65">
        <f t="shared" si="31"/>
        <v>2.5620000000000003</v>
      </c>
      <c r="M41" s="64">
        <f t="shared" si="32"/>
        <v>16.685077776243578</v>
      </c>
      <c r="N41" s="64">
        <f t="shared" si="33"/>
        <v>6.0100777762435769</v>
      </c>
      <c r="O41" s="64">
        <f t="shared" si="34"/>
        <v>56.300494391040537</v>
      </c>
      <c r="P41" s="64">
        <f t="shared" si="35"/>
        <v>1.9778151736868626E-2</v>
      </c>
      <c r="Q41" s="64">
        <f t="shared" si="36"/>
        <v>1.5630049439104052</v>
      </c>
      <c r="R41" s="64">
        <f t="shared" si="37"/>
        <v>10.675000000000001</v>
      </c>
      <c r="S41" s="70">
        <f t="shared" si="38"/>
        <v>8.3333333333333339</v>
      </c>
      <c r="T41" s="66">
        <f t="shared" si="12"/>
        <v>16.5</v>
      </c>
      <c r="U41" s="66">
        <f t="shared" si="39"/>
        <v>10.586600606662849</v>
      </c>
      <c r="V41" s="70">
        <v>14.886778493999914</v>
      </c>
      <c r="W41" s="66">
        <f t="shared" si="41"/>
        <v>1.9003110196535999E-9</v>
      </c>
      <c r="X41" s="66">
        <f t="shared" si="14"/>
        <v>8.2704324966666185</v>
      </c>
      <c r="Y41" s="66">
        <f t="shared" si="15"/>
        <v>10.645751110949977</v>
      </c>
    </row>
    <row r="42" spans="1:25" s="57" customFormat="1" ht="18" customHeight="1">
      <c r="A42" s="71">
        <f t="shared" si="40"/>
        <v>39</v>
      </c>
      <c r="B42" s="72" t="s">
        <v>29</v>
      </c>
      <c r="C42" s="58" t="s">
        <v>18</v>
      </c>
      <c r="D42" s="56" t="s">
        <v>11</v>
      </c>
      <c r="E42" s="60">
        <v>1</v>
      </c>
      <c r="F42" s="63">
        <v>6.8</v>
      </c>
      <c r="G42" s="60">
        <v>2</v>
      </c>
      <c r="H42" s="63">
        <f t="shared" si="28"/>
        <v>2</v>
      </c>
      <c r="I42" s="64">
        <v>0.20811965811965813</v>
      </c>
      <c r="J42" s="63">
        <f t="shared" si="29"/>
        <v>15</v>
      </c>
      <c r="K42" s="64">
        <f t="shared" si="30"/>
        <v>10.675000000000001</v>
      </c>
      <c r="L42" s="65">
        <f t="shared" si="31"/>
        <v>2.5620000000000003</v>
      </c>
      <c r="M42" s="64">
        <f t="shared" si="32"/>
        <v>16.685077776243578</v>
      </c>
      <c r="N42" s="64">
        <f t="shared" si="33"/>
        <v>6.0100777762435769</v>
      </c>
      <c r="O42" s="64">
        <f t="shared" si="34"/>
        <v>56.300494391040537</v>
      </c>
      <c r="P42" s="64">
        <f t="shared" si="35"/>
        <v>1.1986758628405227E-2</v>
      </c>
      <c r="Q42" s="64">
        <f t="shared" si="36"/>
        <v>1.5630049439104052</v>
      </c>
      <c r="R42" s="64">
        <f t="shared" si="37"/>
        <v>10.675000000000001</v>
      </c>
      <c r="S42" s="70">
        <f t="shared" si="38"/>
        <v>8.3333333333333339</v>
      </c>
      <c r="T42" s="66">
        <f t="shared" si="12"/>
        <v>10</v>
      </c>
      <c r="U42" s="66">
        <f t="shared" si="39"/>
        <v>2.8012984240824328</v>
      </c>
      <c r="V42" s="70">
        <v>5.3787998231293983</v>
      </c>
      <c r="W42" s="66">
        <f t="shared" si="41"/>
        <v>-9.7378076979737216E-7</v>
      </c>
      <c r="X42" s="66">
        <f t="shared" si="14"/>
        <v>2.9882221239607767</v>
      </c>
      <c r="Y42" s="66">
        <f t="shared" si="15"/>
        <v>8.1895232876417605</v>
      </c>
    </row>
    <row r="43" spans="1:25" s="57" customFormat="1" ht="18" customHeight="1">
      <c r="A43" s="71">
        <f t="shared" si="40"/>
        <v>40</v>
      </c>
      <c r="B43" s="74" t="s">
        <v>105</v>
      </c>
      <c r="C43" s="60">
        <v>20</v>
      </c>
      <c r="D43" s="59" t="s">
        <v>81</v>
      </c>
      <c r="E43" s="60">
        <v>1</v>
      </c>
      <c r="F43" s="63">
        <v>9.5</v>
      </c>
      <c r="G43" s="63">
        <v>3</v>
      </c>
      <c r="H43" s="63">
        <f t="shared" si="28"/>
        <v>3</v>
      </c>
      <c r="I43" s="64">
        <v>0.31932021466905208</v>
      </c>
      <c r="J43" s="63">
        <f t="shared" si="29"/>
        <v>15</v>
      </c>
      <c r="K43" s="64">
        <f t="shared" si="30"/>
        <v>13.375</v>
      </c>
      <c r="L43" s="65">
        <f t="shared" si="31"/>
        <v>3.21</v>
      </c>
      <c r="M43" s="64">
        <f t="shared" si="32"/>
        <v>19.078642801228774</v>
      </c>
      <c r="N43" s="64">
        <f t="shared" si="33"/>
        <v>5.7036428012287743</v>
      </c>
      <c r="O43" s="64">
        <f t="shared" si="34"/>
        <v>42.644058326944105</v>
      </c>
      <c r="P43" s="64">
        <f t="shared" si="35"/>
        <v>1.5724388947660276E-2</v>
      </c>
      <c r="Q43" s="64">
        <f t="shared" si="36"/>
        <v>1.4264405832694411</v>
      </c>
      <c r="R43" s="64">
        <f t="shared" si="37"/>
        <v>13.375</v>
      </c>
      <c r="S43" s="70">
        <f t="shared" si="38"/>
        <v>8.3333333333333339</v>
      </c>
      <c r="T43" s="66">
        <f t="shared" si="12"/>
        <v>15.000000000000002</v>
      </c>
      <c r="U43" s="66">
        <f t="shared" si="39"/>
        <v>8.89485404831788</v>
      </c>
      <c r="V43" s="70">
        <v>9.0701794931598201</v>
      </c>
      <c r="W43" s="66">
        <f t="shared" si="41"/>
        <v>-9.8677762139232073E-7</v>
      </c>
      <c r="X43" s="66">
        <f t="shared" si="14"/>
        <v>5.0389886073110111</v>
      </c>
      <c r="Y43" s="66">
        <f t="shared" si="15"/>
        <v>11.84312970239962</v>
      </c>
    </row>
    <row r="44" spans="1:25" s="57" customFormat="1" ht="18" customHeight="1">
      <c r="A44" s="71">
        <f t="shared" si="40"/>
        <v>41</v>
      </c>
      <c r="B44" s="74" t="s">
        <v>106</v>
      </c>
      <c r="C44" s="60">
        <v>20</v>
      </c>
      <c r="D44" s="59" t="s">
        <v>107</v>
      </c>
      <c r="E44" s="60">
        <v>1</v>
      </c>
      <c r="F44" s="63">
        <v>9.5</v>
      </c>
      <c r="G44" s="63">
        <v>4.5</v>
      </c>
      <c r="H44" s="63">
        <f t="shared" si="28"/>
        <v>4.5</v>
      </c>
      <c r="I44" s="64">
        <v>0.47898032200357799</v>
      </c>
      <c r="J44" s="63">
        <f t="shared" si="29"/>
        <v>15</v>
      </c>
      <c r="K44" s="64">
        <f t="shared" si="30"/>
        <v>13.375</v>
      </c>
      <c r="L44" s="65">
        <f t="shared" si="31"/>
        <v>3.21</v>
      </c>
      <c r="M44" s="64">
        <f t="shared" si="32"/>
        <v>19.078642801228774</v>
      </c>
      <c r="N44" s="64">
        <f t="shared" si="33"/>
        <v>5.7036428012287743</v>
      </c>
      <c r="O44" s="64">
        <f t="shared" si="34"/>
        <v>42.644058326944105</v>
      </c>
      <c r="P44" s="64">
        <f t="shared" si="35"/>
        <v>2.3586583421490413E-2</v>
      </c>
      <c r="Q44" s="64">
        <f t="shared" si="36"/>
        <v>1.4264405832694411</v>
      </c>
      <c r="R44" s="64">
        <f t="shared" si="37"/>
        <v>13.375</v>
      </c>
      <c r="S44" s="70">
        <f t="shared" si="38"/>
        <v>8.3333333333333339</v>
      </c>
      <c r="T44" s="66">
        <f t="shared" si="12"/>
        <v>22.5</v>
      </c>
      <c r="U44" s="66">
        <f t="shared" si="39"/>
        <v>17.128192658498399</v>
      </c>
      <c r="V44" s="70">
        <v>20.008136083016723</v>
      </c>
      <c r="W44" s="66">
        <f t="shared" si="41"/>
        <v>2.9487523534044158E-13</v>
      </c>
      <c r="X44" s="66">
        <f t="shared" si="14"/>
        <v>11.115631157231512</v>
      </c>
      <c r="Y44" s="66">
        <f t="shared" si="15"/>
        <v>14.668768488112654</v>
      </c>
    </row>
    <row r="45" spans="1:25" s="57" customFormat="1" ht="18" customHeight="1">
      <c r="A45" s="71">
        <f t="shared" si="40"/>
        <v>42</v>
      </c>
      <c r="B45" s="74" t="s">
        <v>108</v>
      </c>
      <c r="C45" s="60">
        <v>20</v>
      </c>
      <c r="D45" s="59" t="s">
        <v>11</v>
      </c>
      <c r="E45" s="60">
        <v>1</v>
      </c>
      <c r="F45" s="63">
        <v>9.5</v>
      </c>
      <c r="G45" s="63">
        <v>2.5</v>
      </c>
      <c r="H45" s="63">
        <f t="shared" si="28"/>
        <v>2.5</v>
      </c>
      <c r="I45" s="64">
        <v>0.26610017889087673</v>
      </c>
      <c r="J45" s="63">
        <f t="shared" si="29"/>
        <v>15</v>
      </c>
      <c r="K45" s="64">
        <f t="shared" si="30"/>
        <v>13.375</v>
      </c>
      <c r="L45" s="65">
        <f t="shared" si="31"/>
        <v>3.21</v>
      </c>
      <c r="M45" s="64">
        <f t="shared" si="32"/>
        <v>19.078642801228774</v>
      </c>
      <c r="N45" s="64">
        <f t="shared" si="33"/>
        <v>5.7036428012287743</v>
      </c>
      <c r="O45" s="64">
        <f t="shared" si="34"/>
        <v>42.644058326944105</v>
      </c>
      <c r="P45" s="64">
        <f t="shared" si="35"/>
        <v>1.3103657456383562E-2</v>
      </c>
      <c r="Q45" s="64">
        <f t="shared" si="36"/>
        <v>1.4264405832694411</v>
      </c>
      <c r="R45" s="64">
        <f t="shared" si="37"/>
        <v>13.375</v>
      </c>
      <c r="S45" s="70">
        <f t="shared" si="38"/>
        <v>8.3333333333333339</v>
      </c>
      <c r="T45" s="66">
        <f t="shared" si="12"/>
        <v>12.5</v>
      </c>
      <c r="U45" s="66">
        <f t="shared" si="39"/>
        <v>5.9767617824254176</v>
      </c>
      <c r="V45" s="70">
        <v>5.2406929149978518</v>
      </c>
      <c r="W45" s="66">
        <f t="shared" si="41"/>
        <v>-9.7802198339991264E-7</v>
      </c>
      <c r="X45" s="66">
        <f t="shared" si="14"/>
        <v>2.9114960638876952</v>
      </c>
      <c r="Y45" s="66">
        <f t="shared" si="15"/>
        <v>10.853845669707779</v>
      </c>
    </row>
    <row r="46" spans="1:25" s="57" customFormat="1" ht="18" customHeight="1">
      <c r="A46" s="71">
        <f t="shared" si="40"/>
        <v>43</v>
      </c>
      <c r="B46" s="74" t="s">
        <v>109</v>
      </c>
      <c r="C46" s="60">
        <v>20</v>
      </c>
      <c r="D46" s="59" t="s">
        <v>11</v>
      </c>
      <c r="E46" s="60">
        <v>1</v>
      </c>
      <c r="F46" s="63">
        <v>9.5</v>
      </c>
      <c r="G46" s="63">
        <v>2.2999999999999998</v>
      </c>
      <c r="H46" s="63">
        <f t="shared" si="28"/>
        <v>2.2999999999999998</v>
      </c>
      <c r="I46" s="64">
        <v>0.20811965811965813</v>
      </c>
      <c r="J46" s="63">
        <f t="shared" si="29"/>
        <v>15</v>
      </c>
      <c r="K46" s="64">
        <f t="shared" si="30"/>
        <v>13.375</v>
      </c>
      <c r="L46" s="65">
        <f t="shared" si="31"/>
        <v>3.21</v>
      </c>
      <c r="M46" s="64">
        <f t="shared" si="32"/>
        <v>19.078642801228774</v>
      </c>
      <c r="N46" s="64">
        <f t="shared" si="33"/>
        <v>5.7036428012287743</v>
      </c>
      <c r="O46" s="64">
        <f t="shared" si="34"/>
        <v>42.644058326944105</v>
      </c>
      <c r="P46" s="64">
        <f t="shared" si="35"/>
        <v>1.2055364859872877E-2</v>
      </c>
      <c r="Q46" s="64">
        <f t="shared" si="36"/>
        <v>1.4264405832694411</v>
      </c>
      <c r="R46" s="64">
        <f t="shared" si="37"/>
        <v>13.375</v>
      </c>
      <c r="S46" s="70">
        <f t="shared" si="38"/>
        <v>8.3333333333333339</v>
      </c>
      <c r="T46" s="66">
        <f t="shared" si="12"/>
        <v>11.499999999999998</v>
      </c>
      <c r="U46" s="66">
        <f t="shared" si="39"/>
        <v>4.753400680068804</v>
      </c>
      <c r="V46" s="70">
        <v>3.6392708324005096</v>
      </c>
      <c r="W46" s="66">
        <f t="shared" si="41"/>
        <v>-9.6538196814321964E-7</v>
      </c>
      <c r="X46" s="66">
        <f t="shared" si="14"/>
        <v>2.021817129111394</v>
      </c>
      <c r="Y46" s="66">
        <f t="shared" si="15"/>
        <v>10.440144965036799</v>
      </c>
    </row>
    <row r="47" spans="1:25" s="57" customFormat="1" ht="18" customHeight="1">
      <c r="A47" s="71">
        <f t="shared" si="40"/>
        <v>44</v>
      </c>
      <c r="B47" s="74" t="s">
        <v>110</v>
      </c>
      <c r="C47" s="60">
        <v>20</v>
      </c>
      <c r="D47" s="59" t="s">
        <v>11</v>
      </c>
      <c r="E47" s="60">
        <v>1</v>
      </c>
      <c r="F47" s="63">
        <v>9.5</v>
      </c>
      <c r="G47" s="63">
        <v>2.2999999999999998</v>
      </c>
      <c r="H47" s="63">
        <f t="shared" si="28"/>
        <v>2.2999999999999998</v>
      </c>
      <c r="I47" s="64">
        <v>0.20811965811965813</v>
      </c>
      <c r="J47" s="63">
        <f t="shared" si="29"/>
        <v>15</v>
      </c>
      <c r="K47" s="64">
        <f t="shared" si="30"/>
        <v>13.375</v>
      </c>
      <c r="L47" s="65">
        <f t="shared" si="31"/>
        <v>3.21</v>
      </c>
      <c r="M47" s="64">
        <f t="shared" si="32"/>
        <v>19.078642801228774</v>
      </c>
      <c r="N47" s="64">
        <f t="shared" si="33"/>
        <v>5.7036428012287743</v>
      </c>
      <c r="O47" s="64">
        <f t="shared" si="34"/>
        <v>42.644058326944105</v>
      </c>
      <c r="P47" s="64">
        <f t="shared" si="35"/>
        <v>1.2055364859872877E-2</v>
      </c>
      <c r="Q47" s="64">
        <f t="shared" si="36"/>
        <v>1.4264405832694411</v>
      </c>
      <c r="R47" s="64">
        <f t="shared" si="37"/>
        <v>13.375</v>
      </c>
      <c r="S47" s="70">
        <f t="shared" si="38"/>
        <v>8.3333333333333339</v>
      </c>
      <c r="T47" s="66">
        <f t="shared" si="12"/>
        <v>11.499999999999998</v>
      </c>
      <c r="U47" s="66">
        <f t="shared" si="39"/>
        <v>4.753400680068804</v>
      </c>
      <c r="V47" s="70">
        <v>3.6392708324005096</v>
      </c>
      <c r="W47" s="66">
        <f t="shared" si="41"/>
        <v>-9.6538196814321964E-7</v>
      </c>
      <c r="X47" s="66">
        <f t="shared" si="14"/>
        <v>2.021817129111394</v>
      </c>
      <c r="Y47" s="66">
        <f t="shared" si="15"/>
        <v>10.440144965036799</v>
      </c>
    </row>
    <row r="48" spans="1:25" s="57" customFormat="1" ht="18" customHeight="1">
      <c r="A48" s="71">
        <f t="shared" si="40"/>
        <v>45</v>
      </c>
      <c r="B48" s="72" t="s">
        <v>103</v>
      </c>
      <c r="C48" s="58" t="s">
        <v>30</v>
      </c>
      <c r="D48" s="56" t="s">
        <v>11</v>
      </c>
      <c r="E48" s="60">
        <v>1</v>
      </c>
      <c r="F48" s="63">
        <v>5.8</v>
      </c>
      <c r="G48" s="60">
        <v>2</v>
      </c>
      <c r="H48" s="63">
        <f t="shared" si="28"/>
        <v>2</v>
      </c>
      <c r="I48" s="64">
        <v>0.20811965811965813</v>
      </c>
      <c r="J48" s="63">
        <f t="shared" si="29"/>
        <v>20</v>
      </c>
      <c r="K48" s="64">
        <f t="shared" si="30"/>
        <v>10.966666666666667</v>
      </c>
      <c r="L48" s="65">
        <f t="shared" si="31"/>
        <v>1.9740000000000002</v>
      </c>
      <c r="M48" s="64">
        <f t="shared" si="32"/>
        <v>19.452059681151272</v>
      </c>
      <c r="N48" s="64">
        <f t="shared" si="33"/>
        <v>8.4853930144846057</v>
      </c>
      <c r="O48" s="64">
        <f t="shared" si="34"/>
        <v>77.374404387397618</v>
      </c>
      <c r="P48" s="64">
        <f t="shared" si="35"/>
        <v>1.0281687557940034E-2</v>
      </c>
      <c r="Q48" s="64">
        <f t="shared" si="36"/>
        <v>1.7737440438739762</v>
      </c>
      <c r="R48" s="64">
        <f t="shared" si="37"/>
        <v>10.966666666666667</v>
      </c>
      <c r="S48" s="70">
        <f t="shared" si="38"/>
        <v>11.111111111111111</v>
      </c>
      <c r="T48" s="66">
        <f t="shared" si="12"/>
        <v>10</v>
      </c>
      <c r="U48" s="67">
        <v>1</v>
      </c>
      <c r="V48" s="68">
        <v>6.7914281708683255</v>
      </c>
      <c r="W48" s="66">
        <f t="shared" si="41"/>
        <v>0</v>
      </c>
      <c r="X48" s="66">
        <f t="shared" si="14"/>
        <v>3.7730156504824031</v>
      </c>
      <c r="Y48" s="66">
        <f t="shared" si="15"/>
        <v>7.5544522774743168</v>
      </c>
    </row>
    <row r="49" spans="1:25" s="57" customFormat="1" ht="18" customHeight="1">
      <c r="A49" s="71">
        <f t="shared" si="40"/>
        <v>46</v>
      </c>
      <c r="B49" s="72" t="s">
        <v>31</v>
      </c>
      <c r="C49" s="58">
        <v>10</v>
      </c>
      <c r="D49" s="56" t="s">
        <v>27</v>
      </c>
      <c r="E49" s="60">
        <v>1</v>
      </c>
      <c r="F49" s="63">
        <v>13</v>
      </c>
      <c r="G49" s="60">
        <v>6</v>
      </c>
      <c r="H49" s="63">
        <f t="shared" si="28"/>
        <v>6</v>
      </c>
      <c r="I49" s="64">
        <v>0.84914529914529913</v>
      </c>
      <c r="J49" s="63">
        <f t="shared" si="29"/>
        <v>30</v>
      </c>
      <c r="K49" s="64">
        <f t="shared" si="30"/>
        <v>20.75</v>
      </c>
      <c r="L49" s="65">
        <f t="shared" si="31"/>
        <v>2.4900000000000002</v>
      </c>
      <c r="M49" s="64">
        <f t="shared" si="32"/>
        <v>32.848351843367055</v>
      </c>
      <c r="N49" s="64">
        <f t="shared" si="33"/>
        <v>12.098351843367055</v>
      </c>
      <c r="O49" s="64">
        <f t="shared" si="34"/>
        <v>58.305310088515924</v>
      </c>
      <c r="P49" s="64">
        <f t="shared" si="35"/>
        <v>1.8265756615766276E-2</v>
      </c>
      <c r="Q49" s="64">
        <f t="shared" si="36"/>
        <v>1.5830531008851594</v>
      </c>
      <c r="R49" s="64">
        <f t="shared" si="37"/>
        <v>20.75</v>
      </c>
      <c r="S49" s="70">
        <f t="shared" si="38"/>
        <v>16.666666666666668</v>
      </c>
      <c r="T49" s="66">
        <f t="shared" si="12"/>
        <v>30.000000000000004</v>
      </c>
      <c r="U49" s="66">
        <f t="shared" si="39"/>
        <v>17.78970809663576</v>
      </c>
      <c r="V49" s="70">
        <v>26.247346247847613</v>
      </c>
      <c r="W49" s="66">
        <f t="shared" si="41"/>
        <v>2.2854715098219458E-7</v>
      </c>
      <c r="X49" s="66">
        <f t="shared" si="14"/>
        <v>14.581859026582007</v>
      </c>
      <c r="Y49" s="66">
        <f t="shared" si="15"/>
        <v>19.780564447360632</v>
      </c>
    </row>
    <row r="50" spans="1:25" s="57" customFormat="1" ht="18" customHeight="1">
      <c r="A50" s="71">
        <f t="shared" si="40"/>
        <v>47</v>
      </c>
      <c r="B50" s="72" t="s">
        <v>32</v>
      </c>
      <c r="C50" s="58" t="s">
        <v>33</v>
      </c>
      <c r="D50" s="56" t="s">
        <v>21</v>
      </c>
      <c r="E50" s="60">
        <v>1</v>
      </c>
      <c r="F50" s="63">
        <v>8.5</v>
      </c>
      <c r="G50" s="60">
        <v>4</v>
      </c>
      <c r="H50" s="63">
        <f t="shared" si="28"/>
        <v>4</v>
      </c>
      <c r="I50" s="64">
        <v>0.45769230769230773</v>
      </c>
      <c r="J50" s="63">
        <f t="shared" si="29"/>
        <v>30</v>
      </c>
      <c r="K50" s="64">
        <f t="shared" si="30"/>
        <v>16.25</v>
      </c>
      <c r="L50" s="65">
        <f t="shared" si="31"/>
        <v>1.95</v>
      </c>
      <c r="M50" s="64">
        <f t="shared" si="32"/>
        <v>29.010576030587565</v>
      </c>
      <c r="N50" s="64">
        <f t="shared" si="33"/>
        <v>12.760576030587565</v>
      </c>
      <c r="O50" s="64">
        <f t="shared" si="34"/>
        <v>78.526621726692696</v>
      </c>
      <c r="P50" s="64">
        <f t="shared" si="35"/>
        <v>1.378807506539189E-2</v>
      </c>
      <c r="Q50" s="64">
        <f t="shared" si="36"/>
        <v>1.7852662172669271</v>
      </c>
      <c r="R50" s="64">
        <f t="shared" si="37"/>
        <v>16.25</v>
      </c>
      <c r="S50" s="70">
        <f t="shared" si="38"/>
        <v>16.666666666666668</v>
      </c>
      <c r="T50" s="66">
        <f t="shared" si="12"/>
        <v>20</v>
      </c>
      <c r="U50" s="66">
        <f t="shared" si="39"/>
        <v>5.6025968481648576</v>
      </c>
      <c r="V50" s="70">
        <v>17.713439004271766</v>
      </c>
      <c r="W50" s="66">
        <f t="shared" si="41"/>
        <v>-9.7248914698866429E-7</v>
      </c>
      <c r="X50" s="66">
        <f t="shared" si="14"/>
        <v>9.8407994468176483</v>
      </c>
      <c r="Y50" s="66">
        <f t="shared" si="15"/>
        <v>13.075971742770207</v>
      </c>
    </row>
    <row r="51" spans="1:25" s="57" customFormat="1" ht="18" customHeight="1">
      <c r="A51" s="71">
        <f t="shared" si="40"/>
        <v>48</v>
      </c>
      <c r="B51" s="72" t="s">
        <v>34</v>
      </c>
      <c r="C51" s="58" t="s">
        <v>33</v>
      </c>
      <c r="D51" s="56" t="s">
        <v>21</v>
      </c>
      <c r="E51" s="60">
        <v>1</v>
      </c>
      <c r="F51" s="63">
        <v>8.5</v>
      </c>
      <c r="G51" s="60">
        <v>4</v>
      </c>
      <c r="H51" s="63">
        <f t="shared" si="28"/>
        <v>4</v>
      </c>
      <c r="I51" s="64">
        <v>0.45769230769230773</v>
      </c>
      <c r="J51" s="63">
        <f t="shared" si="29"/>
        <v>30</v>
      </c>
      <c r="K51" s="64">
        <f t="shared" si="30"/>
        <v>16.25</v>
      </c>
      <c r="L51" s="65">
        <f t="shared" si="31"/>
        <v>1.95</v>
      </c>
      <c r="M51" s="64">
        <f t="shared" si="32"/>
        <v>29.010576030587565</v>
      </c>
      <c r="N51" s="64">
        <f t="shared" si="33"/>
        <v>12.760576030587565</v>
      </c>
      <c r="O51" s="64">
        <f t="shared" si="34"/>
        <v>78.526621726692696</v>
      </c>
      <c r="P51" s="64">
        <f t="shared" si="35"/>
        <v>1.378807506539189E-2</v>
      </c>
      <c r="Q51" s="64">
        <f t="shared" si="36"/>
        <v>1.7852662172669271</v>
      </c>
      <c r="R51" s="64">
        <f t="shared" si="37"/>
        <v>16.25</v>
      </c>
      <c r="S51" s="70">
        <f t="shared" si="38"/>
        <v>16.666666666666668</v>
      </c>
      <c r="T51" s="66">
        <f t="shared" si="12"/>
        <v>20</v>
      </c>
      <c r="U51" s="66">
        <f t="shared" si="39"/>
        <v>5.6025968481648576</v>
      </c>
      <c r="V51" s="70">
        <v>17.713439004271766</v>
      </c>
      <c r="W51" s="66">
        <f t="shared" si="41"/>
        <v>-9.7248914698866429E-7</v>
      </c>
      <c r="X51" s="66">
        <f t="shared" si="14"/>
        <v>9.8407994468176483</v>
      </c>
      <c r="Y51" s="66">
        <f t="shared" si="15"/>
        <v>13.075971742770207</v>
      </c>
    </row>
    <row r="52" spans="1:25" s="57" customFormat="1" ht="18" customHeight="1">
      <c r="A52" s="71">
        <f t="shared" si="40"/>
        <v>49</v>
      </c>
      <c r="B52" s="72" t="s">
        <v>35</v>
      </c>
      <c r="C52" s="58" t="s">
        <v>33</v>
      </c>
      <c r="D52" s="56" t="s">
        <v>11</v>
      </c>
      <c r="E52" s="60">
        <v>1</v>
      </c>
      <c r="F52" s="63">
        <v>11.5</v>
      </c>
      <c r="G52" s="60">
        <v>1.8</v>
      </c>
      <c r="H52" s="63">
        <f t="shared" si="28"/>
        <v>1.8</v>
      </c>
      <c r="I52" s="64">
        <v>0.20811965811965813</v>
      </c>
      <c r="J52" s="63">
        <f t="shared" si="29"/>
        <v>30</v>
      </c>
      <c r="K52" s="64">
        <f t="shared" si="30"/>
        <v>19.25</v>
      </c>
      <c r="L52" s="65">
        <f t="shared" si="31"/>
        <v>2.31</v>
      </c>
      <c r="M52" s="64">
        <f t="shared" si="32"/>
        <v>31.553766167051926</v>
      </c>
      <c r="N52" s="64">
        <f t="shared" si="33"/>
        <v>12.303766167051926</v>
      </c>
      <c r="O52" s="64">
        <f t="shared" si="34"/>
        <v>63.915668400269745</v>
      </c>
      <c r="P52" s="64">
        <f t="shared" si="35"/>
        <v>5.7045488341088716E-3</v>
      </c>
      <c r="Q52" s="64">
        <f t="shared" si="36"/>
        <v>1.6391566840026974</v>
      </c>
      <c r="R52" s="64">
        <f t="shared" si="37"/>
        <v>19.25</v>
      </c>
      <c r="S52" s="70">
        <f t="shared" si="38"/>
        <v>16.666666666666668</v>
      </c>
      <c r="T52" s="66">
        <f t="shared" si="12"/>
        <v>9</v>
      </c>
      <c r="U52" s="67">
        <v>1</v>
      </c>
      <c r="V52" s="68">
        <v>2</v>
      </c>
      <c r="W52" s="66">
        <f t="shared" si="41"/>
        <v>-7.9256080556856485</v>
      </c>
      <c r="X52" s="66">
        <f t="shared" si="14"/>
        <v>1.1111111111111112</v>
      </c>
      <c r="Y52" s="66">
        <f t="shared" si="15"/>
        <v>12.016666666666667</v>
      </c>
    </row>
    <row r="53" spans="1:25" s="57" customFormat="1" ht="18" customHeight="1">
      <c r="A53" s="71">
        <f t="shared" si="40"/>
        <v>50</v>
      </c>
      <c r="B53" s="72" t="s">
        <v>36</v>
      </c>
      <c r="C53" s="58" t="s">
        <v>33</v>
      </c>
      <c r="D53" s="56" t="s">
        <v>11</v>
      </c>
      <c r="E53" s="60">
        <v>1</v>
      </c>
      <c r="F53" s="63">
        <v>8.5</v>
      </c>
      <c r="G53" s="60">
        <v>1.8</v>
      </c>
      <c r="H53" s="63">
        <f t="shared" si="28"/>
        <v>1.8</v>
      </c>
      <c r="I53" s="64">
        <v>0.20811965811965813</v>
      </c>
      <c r="J53" s="63">
        <f t="shared" si="29"/>
        <v>30</v>
      </c>
      <c r="K53" s="64">
        <f t="shared" si="30"/>
        <v>16.25</v>
      </c>
      <c r="L53" s="65">
        <f t="shared" si="31"/>
        <v>1.95</v>
      </c>
      <c r="M53" s="64">
        <f t="shared" si="32"/>
        <v>29.010576030587565</v>
      </c>
      <c r="N53" s="64">
        <f t="shared" si="33"/>
        <v>12.760576030587565</v>
      </c>
      <c r="O53" s="64">
        <f t="shared" si="34"/>
        <v>78.526621726692696</v>
      </c>
      <c r="P53" s="64">
        <f t="shared" si="35"/>
        <v>6.2046337794263509E-3</v>
      </c>
      <c r="Q53" s="64">
        <f t="shared" si="36"/>
        <v>1.7852662172669271</v>
      </c>
      <c r="R53" s="64">
        <f t="shared" si="37"/>
        <v>16.25</v>
      </c>
      <c r="S53" s="70">
        <f t="shared" si="38"/>
        <v>16.666666666666668</v>
      </c>
      <c r="T53" s="66">
        <f t="shared" si="12"/>
        <v>9</v>
      </c>
      <c r="U53" s="67">
        <v>1</v>
      </c>
      <c r="V53" s="68">
        <v>2</v>
      </c>
      <c r="W53" s="66">
        <f t="shared" si="41"/>
        <v>-1.1768595142514915</v>
      </c>
      <c r="X53" s="66">
        <f t="shared" si="14"/>
        <v>1.1111111111111112</v>
      </c>
      <c r="Y53" s="66">
        <f t="shared" si="15"/>
        <v>9.0166666666666675</v>
      </c>
    </row>
    <row r="54" spans="1:25" s="57" customFormat="1" ht="18" customHeight="1">
      <c r="A54" s="71">
        <f t="shared" si="40"/>
        <v>51</v>
      </c>
      <c r="B54" s="72" t="s">
        <v>37</v>
      </c>
      <c r="C54" s="58" t="s">
        <v>33</v>
      </c>
      <c r="D54" s="56" t="s">
        <v>21</v>
      </c>
      <c r="E54" s="60">
        <v>1</v>
      </c>
      <c r="F54" s="63">
        <v>12.8</v>
      </c>
      <c r="G54" s="60">
        <v>4.3</v>
      </c>
      <c r="H54" s="63">
        <f t="shared" si="28"/>
        <v>4.3</v>
      </c>
      <c r="I54" s="64">
        <v>0.45769230769230773</v>
      </c>
      <c r="J54" s="63">
        <f t="shared" si="29"/>
        <v>30</v>
      </c>
      <c r="K54" s="64">
        <f t="shared" si="30"/>
        <v>20.55</v>
      </c>
      <c r="L54" s="65">
        <f t="shared" si="31"/>
        <v>2.4660000000000002</v>
      </c>
      <c r="M54" s="64">
        <f t="shared" si="32"/>
        <v>32.674911247133373</v>
      </c>
      <c r="N54" s="64">
        <f t="shared" si="33"/>
        <v>12.124911247133372</v>
      </c>
      <c r="O54" s="64">
        <f t="shared" si="34"/>
        <v>59.002001202595487</v>
      </c>
      <c r="P54" s="64">
        <f t="shared" si="35"/>
        <v>1.3159943932142268E-2</v>
      </c>
      <c r="Q54" s="64">
        <f t="shared" si="36"/>
        <v>1.5900200120259549</v>
      </c>
      <c r="R54" s="64">
        <f t="shared" si="37"/>
        <v>20.55</v>
      </c>
      <c r="S54" s="70">
        <f t="shared" si="38"/>
        <v>16.666666666666668</v>
      </c>
      <c r="T54" s="66">
        <f t="shared" si="12"/>
        <v>21.5</v>
      </c>
      <c r="U54" s="66">
        <f t="shared" si="39"/>
        <v>7.6011869643442438</v>
      </c>
      <c r="V54" s="70">
        <v>14.14499527330269</v>
      </c>
      <c r="W54" s="66">
        <f t="shared" si="41"/>
        <v>0</v>
      </c>
      <c r="X54" s="66">
        <f t="shared" si="14"/>
        <v>7.8583307073903832</v>
      </c>
      <c r="Y54" s="66">
        <f t="shared" si="15"/>
        <v>16.45412377893653</v>
      </c>
    </row>
    <row r="55" spans="1:25" s="57" customFormat="1" ht="18" customHeight="1">
      <c r="A55" s="71">
        <f t="shared" si="40"/>
        <v>52</v>
      </c>
      <c r="B55" s="72" t="s">
        <v>104</v>
      </c>
      <c r="C55" s="58">
        <v>10</v>
      </c>
      <c r="D55" s="56" t="s">
        <v>9</v>
      </c>
      <c r="E55" s="60">
        <v>1</v>
      </c>
      <c r="F55" s="63">
        <v>8.5</v>
      </c>
      <c r="G55" s="60">
        <v>1.5</v>
      </c>
      <c r="H55" s="63">
        <f t="shared" si="28"/>
        <v>1.5</v>
      </c>
      <c r="I55" s="64">
        <v>8.8333333333333305E-2</v>
      </c>
      <c r="J55" s="63">
        <f t="shared" si="29"/>
        <v>30</v>
      </c>
      <c r="K55" s="64">
        <f t="shared" si="30"/>
        <v>16.25</v>
      </c>
      <c r="L55" s="65">
        <f t="shared" si="31"/>
        <v>1.95</v>
      </c>
      <c r="M55" s="64">
        <f t="shared" si="32"/>
        <v>29.010576030587565</v>
      </c>
      <c r="N55" s="64">
        <f t="shared" si="33"/>
        <v>12.760576030587565</v>
      </c>
      <c r="O55" s="64">
        <f t="shared" si="34"/>
        <v>78.526621726692696</v>
      </c>
      <c r="P55" s="64">
        <f t="shared" si="35"/>
        <v>5.1705281495219588E-3</v>
      </c>
      <c r="Q55" s="64">
        <f t="shared" si="36"/>
        <v>1.7852662172669271</v>
      </c>
      <c r="R55" s="64">
        <f t="shared" si="37"/>
        <v>16.25</v>
      </c>
      <c r="S55" s="70">
        <f t="shared" si="38"/>
        <v>16.666666666666668</v>
      </c>
      <c r="T55" s="66">
        <f t="shared" si="12"/>
        <v>7.5000000000000009</v>
      </c>
      <c r="U55" s="67">
        <v>1</v>
      </c>
      <c r="V55" s="68">
        <v>2</v>
      </c>
      <c r="W55" s="66">
        <f t="shared" si="41"/>
        <v>-4.353750833695619</v>
      </c>
      <c r="X55" s="66">
        <f t="shared" si="14"/>
        <v>1.1111111111111112</v>
      </c>
      <c r="Y55" s="66">
        <f t="shared" si="15"/>
        <v>9.0166666666666675</v>
      </c>
    </row>
    <row r="56" spans="1:25" s="57" customFormat="1" ht="18" customHeight="1">
      <c r="A56" s="71">
        <f t="shared" si="40"/>
        <v>53</v>
      </c>
      <c r="B56" s="72" t="s">
        <v>38</v>
      </c>
      <c r="C56" s="58" t="s">
        <v>39</v>
      </c>
      <c r="D56" s="56" t="s">
        <v>11</v>
      </c>
      <c r="E56" s="60">
        <v>1</v>
      </c>
      <c r="F56" s="63">
        <v>7.55</v>
      </c>
      <c r="G56" s="60">
        <v>2.2999999999999998</v>
      </c>
      <c r="H56" s="63">
        <f t="shared" si="28"/>
        <v>2.2999999999999998</v>
      </c>
      <c r="I56" s="64">
        <v>0.20811965811965813</v>
      </c>
      <c r="J56" s="63">
        <f t="shared" si="29"/>
        <v>37.5</v>
      </c>
      <c r="K56" s="64">
        <f t="shared" si="30"/>
        <v>17.237500000000001</v>
      </c>
      <c r="L56" s="65">
        <f t="shared" si="31"/>
        <v>1.6548000000000003</v>
      </c>
      <c r="M56" s="64">
        <f t="shared" si="32"/>
        <v>33.719817984889488</v>
      </c>
      <c r="N56" s="64">
        <f t="shared" si="33"/>
        <v>16.482317984889487</v>
      </c>
      <c r="O56" s="64">
        <f t="shared" si="34"/>
        <v>95.618958578039084</v>
      </c>
      <c r="P56" s="64">
        <f t="shared" si="35"/>
        <v>6.820914635513973E-3</v>
      </c>
      <c r="Q56" s="64">
        <f t="shared" si="36"/>
        <v>1.9561895857803908</v>
      </c>
      <c r="R56" s="64">
        <f t="shared" si="37"/>
        <v>17.237500000000001</v>
      </c>
      <c r="S56" s="70">
        <f t="shared" si="38"/>
        <v>20.833333333333332</v>
      </c>
      <c r="T56" s="66">
        <f t="shared" si="12"/>
        <v>11.499999999999998</v>
      </c>
      <c r="U56" s="67">
        <v>1</v>
      </c>
      <c r="V56" s="68">
        <v>6.5744196371241364</v>
      </c>
      <c r="W56" s="66">
        <f t="shared" si="41"/>
        <v>-5.6843418860808015E-14</v>
      </c>
      <c r="X56" s="66">
        <f t="shared" si="14"/>
        <v>3.6524553539578535</v>
      </c>
      <c r="Y56" s="66">
        <f t="shared" si="15"/>
        <v>9.2483917395904012</v>
      </c>
    </row>
    <row r="57" spans="1:25" s="57" customFormat="1" ht="18" customHeight="1">
      <c r="A57" s="71">
        <f t="shared" si="40"/>
        <v>54</v>
      </c>
      <c r="B57" s="72" t="s">
        <v>40</v>
      </c>
      <c r="C57" s="58">
        <v>7</v>
      </c>
      <c r="D57" s="56" t="s">
        <v>27</v>
      </c>
      <c r="E57" s="60">
        <v>1</v>
      </c>
      <c r="F57" s="63">
        <v>22.857142857142854</v>
      </c>
      <c r="G57" s="60">
        <v>7</v>
      </c>
      <c r="H57" s="63">
        <f t="shared" si="28"/>
        <v>7</v>
      </c>
      <c r="I57" s="64">
        <v>0.84914529914529913</v>
      </c>
      <c r="J57" s="63">
        <f t="shared" si="29"/>
        <v>42.857142857142861</v>
      </c>
      <c r="K57" s="64">
        <f t="shared" si="30"/>
        <v>33.928571428571431</v>
      </c>
      <c r="L57" s="65">
        <f t="shared" si="31"/>
        <v>2.85</v>
      </c>
      <c r="M57" s="64">
        <f t="shared" si="32"/>
        <v>50.683605320107361</v>
      </c>
      <c r="N57" s="64">
        <f t="shared" si="33"/>
        <v>16.75503389153593</v>
      </c>
      <c r="O57" s="64">
        <f t="shared" si="34"/>
        <v>49.38325778557958</v>
      </c>
      <c r="P57" s="64">
        <f t="shared" si="35"/>
        <v>1.3811172184357096E-2</v>
      </c>
      <c r="Q57" s="64">
        <f t="shared" si="36"/>
        <v>1.4938325778557957</v>
      </c>
      <c r="R57" s="64">
        <f t="shared" si="37"/>
        <v>33.928571428571431</v>
      </c>
      <c r="S57" s="70">
        <f t="shared" si="38"/>
        <v>23.80952380952381</v>
      </c>
      <c r="T57" s="66">
        <f t="shared" si="12"/>
        <v>35</v>
      </c>
      <c r="U57" s="66">
        <f t="shared" si="39"/>
        <v>16.214127050609566</v>
      </c>
      <c r="V57" s="70">
        <v>20.182285215251259</v>
      </c>
      <c r="W57" s="66">
        <f t="shared" si="41"/>
        <v>0</v>
      </c>
      <c r="X57" s="66">
        <f t="shared" si="14"/>
        <v>11.212380675139588</v>
      </c>
      <c r="Y57" s="66">
        <f t="shared" si="15"/>
        <v>28.070899871082762</v>
      </c>
    </row>
    <row r="58" spans="1:25" s="57" customFormat="1" ht="18" customHeight="1">
      <c r="A58" s="71">
        <f t="shared" si="40"/>
        <v>55</v>
      </c>
      <c r="B58" s="72" t="s">
        <v>41</v>
      </c>
      <c r="C58" s="58" t="s">
        <v>13</v>
      </c>
      <c r="D58" s="56" t="s">
        <v>27</v>
      </c>
      <c r="E58" s="60">
        <v>1</v>
      </c>
      <c r="F58" s="63">
        <v>35</v>
      </c>
      <c r="G58" s="60">
        <v>8</v>
      </c>
      <c r="H58" s="63">
        <f t="shared" si="28"/>
        <v>8</v>
      </c>
      <c r="I58" s="64">
        <v>0.84914529914529913</v>
      </c>
      <c r="J58" s="63">
        <f t="shared" si="29"/>
        <v>150</v>
      </c>
      <c r="K58" s="64">
        <f t="shared" si="30"/>
        <v>73.75</v>
      </c>
      <c r="L58" s="65">
        <f t="shared" si="31"/>
        <v>1.77</v>
      </c>
      <c r="M58" s="64">
        <f t="shared" si="32"/>
        <v>138.82050459918165</v>
      </c>
      <c r="N58" s="64">
        <f t="shared" si="33"/>
        <v>65.070504599181646</v>
      </c>
      <c r="O58" s="64">
        <f t="shared" si="34"/>
        <v>88.23119267685648</v>
      </c>
      <c r="P58" s="64">
        <f t="shared" si="35"/>
        <v>5.7628374303194691E-3</v>
      </c>
      <c r="Q58" s="64">
        <f t="shared" si="36"/>
        <v>1.8823119267685646</v>
      </c>
      <c r="R58" s="64">
        <f t="shared" si="37"/>
        <v>73.75</v>
      </c>
      <c r="S58" s="70">
        <f t="shared" si="38"/>
        <v>83.333333333333329</v>
      </c>
      <c r="T58" s="66">
        <f t="shared" si="12"/>
        <v>40</v>
      </c>
      <c r="U58" s="67">
        <v>1</v>
      </c>
      <c r="V58" s="68">
        <v>9.4669402670774243</v>
      </c>
      <c r="W58" s="66">
        <f t="shared" si="41"/>
        <v>-6.2527760746888816E-13</v>
      </c>
      <c r="X58" s="66">
        <f t="shared" si="14"/>
        <v>5.2594112594874582</v>
      </c>
      <c r="Y58" s="66">
        <f t="shared" si="15"/>
        <v>37.44562623566167</v>
      </c>
    </row>
    <row r="59" spans="1:25" s="57" customFormat="1" ht="18" customHeight="1">
      <c r="A59" s="71">
        <f>A58+1</f>
        <v>56</v>
      </c>
      <c r="B59" s="72" t="s">
        <v>111</v>
      </c>
      <c r="C59" s="58">
        <v>150</v>
      </c>
      <c r="D59" s="56" t="s">
        <v>9</v>
      </c>
      <c r="E59" s="60">
        <v>2</v>
      </c>
      <c r="F59" s="63">
        <v>2.7</v>
      </c>
      <c r="G59" s="60">
        <v>1.5</v>
      </c>
      <c r="H59" s="63">
        <f t="shared" ref="H59:H75" si="42">E59*G59</f>
        <v>3</v>
      </c>
      <c r="I59" s="63">
        <v>7.6068376068376062E-2</v>
      </c>
      <c r="J59" s="63">
        <f t="shared" ref="J59:J75" si="43">100/C59*3</f>
        <v>2</v>
      </c>
      <c r="K59" s="64">
        <f t="shared" ref="K59:K75" si="44">F59+$I$2*J59/3.6</f>
        <v>3.2166666666666668</v>
      </c>
      <c r="L59" s="65">
        <f t="shared" ref="L59:L75" si="45">K59*3.6/J59</f>
        <v>5.79</v>
      </c>
      <c r="M59" s="64">
        <f t="shared" ref="M59:M75" si="46">K59/(1+(EXP(-L59*E59)-1)/L59/E59)</f>
        <v>3.5206963210842113</v>
      </c>
      <c r="N59" s="64">
        <f t="shared" ref="N59:N75" si="47">M59-K59</f>
        <v>0.30402965441754448</v>
      </c>
      <c r="O59" s="64">
        <f t="shared" ref="O59:O75" si="48">N59/K59*100</f>
        <v>9.4516991010635589</v>
      </c>
      <c r="P59" s="64">
        <f t="shared" ref="P59:P75" si="49">$F$2*H59/M59</f>
        <v>8.5210416531356484E-2</v>
      </c>
      <c r="Q59" s="64">
        <f t="shared" ref="Q59:Q75" si="50">M59/K59</f>
        <v>1.0945169910106356</v>
      </c>
      <c r="R59" s="64">
        <f t="shared" ref="R59:R75" si="51">K59</f>
        <v>3.2166666666666668</v>
      </c>
      <c r="S59" s="70">
        <f t="shared" ref="S59:S75" si="52">2*J59/3.6/E59</f>
        <v>0.55555555555555558</v>
      </c>
      <c r="T59" s="66">
        <f t="shared" si="12"/>
        <v>15.000000000000002</v>
      </c>
      <c r="U59" s="66">
        <f t="shared" si="39"/>
        <v>14.804707204430446</v>
      </c>
      <c r="V59" s="70">
        <v>27.039284196218006</v>
      </c>
      <c r="W59" s="66">
        <f t="shared" si="41"/>
        <v>-9.6454646580923509E-7</v>
      </c>
      <c r="X59" s="66">
        <f t="shared" si="14"/>
        <v>7.5109122767272236</v>
      </c>
      <c r="Y59" s="66">
        <f t="shared" si="15"/>
        <v>9.6851484173563183</v>
      </c>
    </row>
    <row r="60" spans="1:25" s="57" customFormat="1" ht="18" customHeight="1">
      <c r="A60" s="71">
        <f t="shared" ref="A60:A75" si="53">A59+1</f>
        <v>57</v>
      </c>
      <c r="B60" s="72" t="s">
        <v>42</v>
      </c>
      <c r="C60" s="58">
        <v>150</v>
      </c>
      <c r="D60" s="56" t="s">
        <v>21</v>
      </c>
      <c r="E60" s="60">
        <v>2</v>
      </c>
      <c r="F60" s="63">
        <v>4</v>
      </c>
      <c r="G60" s="60">
        <v>3.3</v>
      </c>
      <c r="H60" s="63">
        <f t="shared" si="42"/>
        <v>6.6</v>
      </c>
      <c r="I60" s="63">
        <v>0.45769230769230773</v>
      </c>
      <c r="J60" s="63">
        <f t="shared" si="43"/>
        <v>2</v>
      </c>
      <c r="K60" s="64">
        <f t="shared" si="44"/>
        <v>4.5166666666666666</v>
      </c>
      <c r="L60" s="65">
        <f t="shared" si="45"/>
        <v>8.1300000000000008</v>
      </c>
      <c r="M60" s="64">
        <f t="shared" si="46"/>
        <v>4.8126474169334559</v>
      </c>
      <c r="N60" s="64">
        <f t="shared" si="47"/>
        <v>0.29598075026678927</v>
      </c>
      <c r="O60" s="64">
        <f t="shared" si="48"/>
        <v>6.5530793417001316</v>
      </c>
      <c r="P60" s="64">
        <f t="shared" si="49"/>
        <v>0.13713865629918548</v>
      </c>
      <c r="Q60" s="64">
        <f t="shared" si="50"/>
        <v>1.0655307934170013</v>
      </c>
      <c r="R60" s="64">
        <f t="shared" si="51"/>
        <v>4.5166666666666666</v>
      </c>
      <c r="S60" s="70">
        <f t="shared" si="52"/>
        <v>0.55555555555555558</v>
      </c>
      <c r="T60" s="66">
        <f t="shared" si="12"/>
        <v>33</v>
      </c>
      <c r="U60" s="66">
        <f t="shared" si="39"/>
        <v>32.839810224673336</v>
      </c>
      <c r="V60" s="70">
        <v>63.199014123669407</v>
      </c>
      <c r="W60" s="66">
        <f t="shared" si="41"/>
        <v>0</v>
      </c>
      <c r="X60" s="66">
        <f t="shared" si="14"/>
        <v>17.555281701019279</v>
      </c>
      <c r="Y60" s="66">
        <f t="shared" si="15"/>
        <v>20.326411981947931</v>
      </c>
    </row>
    <row r="61" spans="1:25" s="57" customFormat="1" ht="18" customHeight="1">
      <c r="A61" s="71">
        <f t="shared" si="53"/>
        <v>58</v>
      </c>
      <c r="B61" s="72" t="s">
        <v>112</v>
      </c>
      <c r="C61" s="58">
        <v>120</v>
      </c>
      <c r="D61" s="56" t="s">
        <v>9</v>
      </c>
      <c r="E61" s="60">
        <v>2</v>
      </c>
      <c r="F61" s="63">
        <v>2.75</v>
      </c>
      <c r="G61" s="60">
        <v>1.3</v>
      </c>
      <c r="H61" s="63">
        <f t="shared" si="42"/>
        <v>2.6</v>
      </c>
      <c r="I61" s="63">
        <v>7.6068376068376062E-2</v>
      </c>
      <c r="J61" s="63">
        <f t="shared" si="43"/>
        <v>2.5</v>
      </c>
      <c r="K61" s="64">
        <f t="shared" si="44"/>
        <v>3.3958333333333335</v>
      </c>
      <c r="L61" s="65">
        <f t="shared" si="45"/>
        <v>4.8900000000000006</v>
      </c>
      <c r="M61" s="64">
        <f t="shared" si="46"/>
        <v>3.7825781335719015</v>
      </c>
      <c r="N61" s="64">
        <f t="shared" si="47"/>
        <v>0.38674480023856805</v>
      </c>
      <c r="O61" s="64">
        <f t="shared" si="48"/>
        <v>11.388803933405685</v>
      </c>
      <c r="P61" s="64">
        <f t="shared" si="49"/>
        <v>6.8736187546899696E-2</v>
      </c>
      <c r="Q61" s="64">
        <f t="shared" si="50"/>
        <v>1.1138880393340569</v>
      </c>
      <c r="R61" s="64">
        <f t="shared" si="51"/>
        <v>3.3958333333333335</v>
      </c>
      <c r="S61" s="70">
        <f t="shared" si="52"/>
        <v>0.69444444444444442</v>
      </c>
      <c r="T61" s="66">
        <f t="shared" si="12"/>
        <v>13</v>
      </c>
      <c r="U61" s="66">
        <f t="shared" si="39"/>
        <v>12.732220995678823</v>
      </c>
      <c r="V61" s="70">
        <v>22.641173460437592</v>
      </c>
      <c r="W61" s="66">
        <f t="shared" si="41"/>
        <v>0</v>
      </c>
      <c r="X61" s="66">
        <f t="shared" si="14"/>
        <v>6.289214850121553</v>
      </c>
      <c r="Y61" s="66">
        <f t="shared" si="15"/>
        <v>8.5989698106130454</v>
      </c>
    </row>
    <row r="62" spans="1:25" s="57" customFormat="1" ht="18" customHeight="1">
      <c r="A62" s="71">
        <f t="shared" si="53"/>
        <v>59</v>
      </c>
      <c r="B62" s="72" t="s">
        <v>43</v>
      </c>
      <c r="C62" s="58" t="s">
        <v>44</v>
      </c>
      <c r="D62" s="56" t="s">
        <v>9</v>
      </c>
      <c r="E62" s="60">
        <v>2</v>
      </c>
      <c r="F62" s="63">
        <v>2.75</v>
      </c>
      <c r="G62" s="60">
        <v>1.5</v>
      </c>
      <c r="H62" s="63">
        <f t="shared" si="42"/>
        <v>3</v>
      </c>
      <c r="I62" s="63">
        <v>7.6068376068376062E-2</v>
      </c>
      <c r="J62" s="63">
        <f t="shared" si="43"/>
        <v>2.5</v>
      </c>
      <c r="K62" s="64">
        <f t="shared" si="44"/>
        <v>3.3958333333333335</v>
      </c>
      <c r="L62" s="65">
        <f t="shared" si="45"/>
        <v>4.8900000000000006</v>
      </c>
      <c r="M62" s="64">
        <f t="shared" si="46"/>
        <v>3.7825781335719015</v>
      </c>
      <c r="N62" s="64">
        <f t="shared" si="47"/>
        <v>0.38674480023856805</v>
      </c>
      <c r="O62" s="64">
        <f t="shared" si="48"/>
        <v>11.388803933405685</v>
      </c>
      <c r="P62" s="64">
        <f t="shared" si="49"/>
        <v>7.9310985631038111E-2</v>
      </c>
      <c r="Q62" s="64">
        <f t="shared" si="50"/>
        <v>1.1138880393340569</v>
      </c>
      <c r="R62" s="64">
        <f t="shared" si="51"/>
        <v>3.3958333333333335</v>
      </c>
      <c r="S62" s="70">
        <f t="shared" si="52"/>
        <v>0.69444444444444442</v>
      </c>
      <c r="T62" s="66">
        <f t="shared" si="12"/>
        <v>15.000000000000002</v>
      </c>
      <c r="U62" s="66">
        <f t="shared" si="39"/>
        <v>14.741741993924036</v>
      </c>
      <c r="V62" s="70">
        <v>26.942907952514481</v>
      </c>
      <c r="W62" s="66">
        <f t="shared" si="41"/>
        <v>0</v>
      </c>
      <c r="X62" s="66">
        <f t="shared" si="14"/>
        <v>7.4841410979206895</v>
      </c>
      <c r="Y62" s="66">
        <f t="shared" si="15"/>
        <v>9.7102512210662404</v>
      </c>
    </row>
    <row r="63" spans="1:25" s="57" customFormat="1" ht="18" customHeight="1">
      <c r="A63" s="71">
        <f t="shared" si="53"/>
        <v>60</v>
      </c>
      <c r="B63" s="72" t="s">
        <v>45</v>
      </c>
      <c r="C63" s="58">
        <v>100</v>
      </c>
      <c r="D63" s="56" t="s">
        <v>27</v>
      </c>
      <c r="E63" s="60">
        <v>2</v>
      </c>
      <c r="F63" s="63">
        <v>10.3</v>
      </c>
      <c r="G63" s="60">
        <v>7.8</v>
      </c>
      <c r="H63" s="63">
        <f t="shared" si="42"/>
        <v>15.6</v>
      </c>
      <c r="I63" s="63">
        <v>0.84914529914529913</v>
      </c>
      <c r="J63" s="63">
        <f t="shared" si="43"/>
        <v>3</v>
      </c>
      <c r="K63" s="64">
        <f t="shared" si="44"/>
        <v>11.075000000000001</v>
      </c>
      <c r="L63" s="65">
        <f t="shared" si="45"/>
        <v>13.290000000000001</v>
      </c>
      <c r="M63" s="64">
        <f t="shared" si="46"/>
        <v>11.507955433931475</v>
      </c>
      <c r="N63" s="64">
        <f t="shared" si="47"/>
        <v>0.43295543393147362</v>
      </c>
      <c r="O63" s="64">
        <f t="shared" si="48"/>
        <v>3.9093041438507772</v>
      </c>
      <c r="P63" s="64">
        <f t="shared" si="49"/>
        <v>0.1355583977498126</v>
      </c>
      <c r="Q63" s="64">
        <f t="shared" si="50"/>
        <v>1.0390930414385078</v>
      </c>
      <c r="R63" s="64">
        <f t="shared" si="51"/>
        <v>11.075000000000001</v>
      </c>
      <c r="S63" s="70">
        <f t="shared" si="52"/>
        <v>0.83333333333333326</v>
      </c>
      <c r="T63" s="66">
        <f t="shared" si="12"/>
        <v>78</v>
      </c>
      <c r="U63" s="66">
        <f t="shared" si="39"/>
        <v>77.785592915584516</v>
      </c>
      <c r="V63" s="70">
        <v>147.77050059949082</v>
      </c>
      <c r="W63" s="66">
        <f t="shared" si="41"/>
        <v>0</v>
      </c>
      <c r="X63" s="66">
        <f t="shared" si="14"/>
        <v>41.047361277636334</v>
      </c>
      <c r="Y63" s="66">
        <f t="shared" si="15"/>
        <v>48.474045988201794</v>
      </c>
    </row>
    <row r="64" spans="1:25" s="57" customFormat="1" ht="18" customHeight="1">
      <c r="A64" s="71">
        <f t="shared" si="53"/>
        <v>61</v>
      </c>
      <c r="B64" s="72" t="s">
        <v>113</v>
      </c>
      <c r="C64" s="58">
        <v>70</v>
      </c>
      <c r="D64" s="56" t="s">
        <v>9</v>
      </c>
      <c r="E64" s="60">
        <v>2</v>
      </c>
      <c r="F64" s="63">
        <v>2.9285714285714288</v>
      </c>
      <c r="G64" s="60">
        <v>1.5</v>
      </c>
      <c r="H64" s="63">
        <f t="shared" si="42"/>
        <v>3</v>
      </c>
      <c r="I64" s="63">
        <v>7.6068376068376062E-2</v>
      </c>
      <c r="J64" s="63">
        <f t="shared" si="43"/>
        <v>4.2857142857142856</v>
      </c>
      <c r="K64" s="64">
        <f t="shared" si="44"/>
        <v>4.0357142857142865</v>
      </c>
      <c r="L64" s="65">
        <f t="shared" si="45"/>
        <v>3.390000000000001</v>
      </c>
      <c r="M64" s="64">
        <f t="shared" si="46"/>
        <v>4.7330043015850052</v>
      </c>
      <c r="N64" s="64">
        <f t="shared" si="47"/>
        <v>0.6972900158707187</v>
      </c>
      <c r="O64" s="64">
        <f t="shared" si="48"/>
        <v>17.277982694141699</v>
      </c>
      <c r="P64" s="64">
        <f t="shared" si="49"/>
        <v>6.3384687797459843E-2</v>
      </c>
      <c r="Q64" s="64">
        <f t="shared" si="50"/>
        <v>1.1727798269414169</v>
      </c>
      <c r="R64" s="64">
        <f t="shared" si="51"/>
        <v>4.0357142857142865</v>
      </c>
      <c r="S64" s="70">
        <f t="shared" si="52"/>
        <v>1.1904761904761905</v>
      </c>
      <c r="T64" s="66">
        <f t="shared" si="12"/>
        <v>15.000000000000002</v>
      </c>
      <c r="U64" s="66">
        <f t="shared" si="39"/>
        <v>14.492337480038367</v>
      </c>
      <c r="V64" s="70">
        <v>26.598100944847491</v>
      </c>
      <c r="W64" s="66">
        <f t="shared" si="41"/>
        <v>3.907985046680551E-14</v>
      </c>
      <c r="X64" s="66">
        <f t="shared" si="14"/>
        <v>7.3883613735687472</v>
      </c>
      <c r="Y64" s="66">
        <f t="shared" si="15"/>
        <v>9.7997475059903643</v>
      </c>
    </row>
    <row r="65" spans="1:25" s="57" customFormat="1" ht="18" customHeight="1">
      <c r="A65" s="71">
        <f t="shared" si="53"/>
        <v>62</v>
      </c>
      <c r="B65" s="72" t="s">
        <v>46</v>
      </c>
      <c r="C65" s="58">
        <v>70</v>
      </c>
      <c r="D65" s="56" t="s">
        <v>21</v>
      </c>
      <c r="E65" s="60">
        <v>2</v>
      </c>
      <c r="F65" s="63">
        <v>5.4285714285714288</v>
      </c>
      <c r="G65" s="60">
        <v>3.3</v>
      </c>
      <c r="H65" s="63">
        <f t="shared" si="42"/>
        <v>6.6</v>
      </c>
      <c r="I65" s="63">
        <v>0.45769230769230773</v>
      </c>
      <c r="J65" s="63">
        <f t="shared" si="43"/>
        <v>4.2857142857142856</v>
      </c>
      <c r="K65" s="64">
        <f t="shared" si="44"/>
        <v>6.5357142857142865</v>
      </c>
      <c r="L65" s="65">
        <f t="shared" si="45"/>
        <v>5.4900000000000011</v>
      </c>
      <c r="M65" s="64">
        <f t="shared" si="46"/>
        <v>7.1905832000094634</v>
      </c>
      <c r="N65" s="64">
        <f t="shared" si="47"/>
        <v>0.65486891429517691</v>
      </c>
      <c r="O65" s="64">
        <f t="shared" si="48"/>
        <v>10.01985224058194</v>
      </c>
      <c r="P65" s="64">
        <f t="shared" si="49"/>
        <v>9.1786713489266272E-2</v>
      </c>
      <c r="Q65" s="64">
        <f t="shared" si="50"/>
        <v>1.1001985224058195</v>
      </c>
      <c r="R65" s="64">
        <f t="shared" si="51"/>
        <v>6.5357142857142865</v>
      </c>
      <c r="S65" s="70">
        <f t="shared" si="52"/>
        <v>1.1904761904761905</v>
      </c>
      <c r="T65" s="66">
        <f t="shared" si="12"/>
        <v>33</v>
      </c>
      <c r="U65" s="66">
        <f t="shared" si="39"/>
        <v>32.584281853988855</v>
      </c>
      <c r="V65" s="70">
        <v>60.470057410554489</v>
      </c>
      <c r="W65" s="66">
        <f t="shared" si="41"/>
        <v>6.3948846218409017E-14</v>
      </c>
      <c r="X65" s="66">
        <f t="shared" si="14"/>
        <v>16.797238169598469</v>
      </c>
      <c r="Y65" s="66">
        <f t="shared" si="15"/>
        <v>21.050002926298006</v>
      </c>
    </row>
    <row r="66" spans="1:25" s="57" customFormat="1" ht="18" customHeight="1">
      <c r="A66" s="71">
        <f t="shared" si="53"/>
        <v>63</v>
      </c>
      <c r="B66" s="72" t="s">
        <v>47</v>
      </c>
      <c r="C66" s="58" t="s">
        <v>48</v>
      </c>
      <c r="D66" s="56" t="s">
        <v>9</v>
      </c>
      <c r="E66" s="60">
        <v>2</v>
      </c>
      <c r="F66" s="63">
        <v>3.1</v>
      </c>
      <c r="G66" s="60">
        <v>1.5</v>
      </c>
      <c r="H66" s="63">
        <f t="shared" si="42"/>
        <v>3</v>
      </c>
      <c r="I66" s="63">
        <v>7.6068376068376062E-2</v>
      </c>
      <c r="J66" s="63">
        <f t="shared" si="43"/>
        <v>6</v>
      </c>
      <c r="K66" s="64">
        <f t="shared" si="44"/>
        <v>4.6500000000000004</v>
      </c>
      <c r="L66" s="65">
        <f t="shared" si="45"/>
        <v>2.7900000000000005</v>
      </c>
      <c r="M66" s="64">
        <f t="shared" si="46"/>
        <v>5.6606211650170115</v>
      </c>
      <c r="N66" s="64">
        <f t="shared" si="47"/>
        <v>1.0106211650170112</v>
      </c>
      <c r="O66" s="64">
        <f t="shared" si="48"/>
        <v>21.733788494989486</v>
      </c>
      <c r="P66" s="64">
        <f t="shared" si="49"/>
        <v>5.2997717256547491E-2</v>
      </c>
      <c r="Q66" s="64">
        <f t="shared" si="50"/>
        <v>1.2173378849498948</v>
      </c>
      <c r="R66" s="64">
        <f t="shared" si="51"/>
        <v>4.6500000000000004</v>
      </c>
      <c r="S66" s="70">
        <f t="shared" si="52"/>
        <v>1.6666666666666665</v>
      </c>
      <c r="T66" s="66">
        <f t="shared" si="12"/>
        <v>15.000000000000002</v>
      </c>
      <c r="U66" s="66">
        <f t="shared" si="39"/>
        <v>14.225129990292116</v>
      </c>
      <c r="V66" s="70">
        <v>26.26618876472563</v>
      </c>
      <c r="W66" s="66">
        <f t="shared" si="41"/>
        <v>-9.5657735244003561E-7</v>
      </c>
      <c r="X66" s="66">
        <f t="shared" si="14"/>
        <v>7.2961635457571195</v>
      </c>
      <c r="Y66" s="66">
        <f t="shared" si="15"/>
        <v>9.885432097554121</v>
      </c>
    </row>
    <row r="67" spans="1:25" s="57" customFormat="1" ht="18" customHeight="1">
      <c r="A67" s="71">
        <f t="shared" si="53"/>
        <v>64</v>
      </c>
      <c r="B67" s="72" t="s">
        <v>114</v>
      </c>
      <c r="C67" s="58">
        <v>40</v>
      </c>
      <c r="D67" s="56" t="s">
        <v>21</v>
      </c>
      <c r="E67" s="60">
        <v>2</v>
      </c>
      <c r="F67" s="63">
        <v>5.3</v>
      </c>
      <c r="G67" s="60">
        <v>3.3</v>
      </c>
      <c r="H67" s="63">
        <f t="shared" si="42"/>
        <v>6.6</v>
      </c>
      <c r="I67" s="63">
        <v>0.36388888888888882</v>
      </c>
      <c r="J67" s="63">
        <f t="shared" si="43"/>
        <v>7.5</v>
      </c>
      <c r="K67" s="64">
        <f t="shared" si="44"/>
        <v>7.2374999999999998</v>
      </c>
      <c r="L67" s="65">
        <f t="shared" si="45"/>
        <v>3.4739999999999998</v>
      </c>
      <c r="M67" s="64">
        <f t="shared" si="46"/>
        <v>8.4529304809884351</v>
      </c>
      <c r="N67" s="64">
        <f t="shared" si="47"/>
        <v>1.2154304809884353</v>
      </c>
      <c r="O67" s="64">
        <f t="shared" si="48"/>
        <v>16.793512690686498</v>
      </c>
      <c r="P67" s="64">
        <f t="shared" si="49"/>
        <v>7.8079430735223984E-2</v>
      </c>
      <c r="Q67" s="64">
        <f t="shared" si="50"/>
        <v>1.167935126906865</v>
      </c>
      <c r="R67" s="64">
        <f t="shared" si="51"/>
        <v>7.2374999999999998</v>
      </c>
      <c r="S67" s="70">
        <f t="shared" si="52"/>
        <v>2.0833333333333335</v>
      </c>
      <c r="T67" s="66">
        <f t="shared" si="12"/>
        <v>33</v>
      </c>
      <c r="U67" s="66">
        <f t="shared" si="39"/>
        <v>32.161892432011236</v>
      </c>
      <c r="V67" s="70">
        <v>60.716784721503686</v>
      </c>
      <c r="W67" s="66">
        <f t="shared" si="41"/>
        <v>0</v>
      </c>
      <c r="X67" s="66">
        <f t="shared" si="14"/>
        <v>16.865773533751025</v>
      </c>
      <c r="Y67" s="66">
        <f t="shared" si="15"/>
        <v>20.985169386388453</v>
      </c>
    </row>
    <row r="68" spans="1:25" s="57" customFormat="1" ht="18" customHeight="1">
      <c r="A68" s="71">
        <f t="shared" si="53"/>
        <v>65</v>
      </c>
      <c r="B68" s="72" t="s">
        <v>115</v>
      </c>
      <c r="C68" s="58">
        <v>40</v>
      </c>
      <c r="D68" s="56" t="s">
        <v>11</v>
      </c>
      <c r="E68" s="60">
        <v>2</v>
      </c>
      <c r="F68" s="63">
        <v>4.55</v>
      </c>
      <c r="G68" s="60">
        <v>2</v>
      </c>
      <c r="H68" s="63">
        <f t="shared" si="42"/>
        <v>4</v>
      </c>
      <c r="I68" s="63">
        <v>0.20753968253968255</v>
      </c>
      <c r="J68" s="63">
        <f t="shared" si="43"/>
        <v>7.5</v>
      </c>
      <c r="K68" s="64">
        <f t="shared" si="44"/>
        <v>6.4874999999999998</v>
      </c>
      <c r="L68" s="65">
        <f t="shared" si="45"/>
        <v>3.1139999999999999</v>
      </c>
      <c r="M68" s="64">
        <f t="shared" si="46"/>
        <v>7.7254981909890681</v>
      </c>
      <c r="N68" s="64">
        <f t="shared" si="47"/>
        <v>1.2379981909890683</v>
      </c>
      <c r="O68" s="64">
        <f t="shared" si="48"/>
        <v>19.082823753203364</v>
      </c>
      <c r="P68" s="64">
        <f t="shared" si="49"/>
        <v>5.1776596163928351E-2</v>
      </c>
      <c r="Q68" s="64">
        <f t="shared" si="50"/>
        <v>1.1908282375320336</v>
      </c>
      <c r="R68" s="64">
        <f t="shared" si="51"/>
        <v>6.4874999999999998</v>
      </c>
      <c r="S68" s="70">
        <f t="shared" si="52"/>
        <v>2.0833333333333335</v>
      </c>
      <c r="T68" s="66">
        <f t="shared" si="12"/>
        <v>20</v>
      </c>
      <c r="U68" s="66">
        <f t="shared" si="39"/>
        <v>19.047410129355669</v>
      </c>
      <c r="V68" s="70">
        <v>34.211814942257568</v>
      </c>
      <c r="W68" s="66">
        <f t="shared" si="41"/>
        <v>0</v>
      </c>
      <c r="X68" s="66">
        <f t="shared" si="14"/>
        <v>9.5032819284048795</v>
      </c>
      <c r="Y68" s="66">
        <f t="shared" si="15"/>
        <v>13.388052193416538</v>
      </c>
    </row>
    <row r="69" spans="1:25" s="57" customFormat="1" ht="18" customHeight="1">
      <c r="A69" s="71">
        <f t="shared" si="53"/>
        <v>66</v>
      </c>
      <c r="B69" s="72" t="s">
        <v>116</v>
      </c>
      <c r="C69" s="58">
        <v>30</v>
      </c>
      <c r="D69" s="56" t="s">
        <v>9</v>
      </c>
      <c r="E69" s="60">
        <v>2</v>
      </c>
      <c r="F69" s="63">
        <v>3.5</v>
      </c>
      <c r="G69" s="60">
        <v>1.3</v>
      </c>
      <c r="H69" s="63">
        <f t="shared" si="42"/>
        <v>2.6</v>
      </c>
      <c r="I69" s="63">
        <v>7.6068376068376103E-2</v>
      </c>
      <c r="J69" s="63">
        <f t="shared" si="43"/>
        <v>10</v>
      </c>
      <c r="K69" s="64">
        <f t="shared" si="44"/>
        <v>6.0833333333333339</v>
      </c>
      <c r="L69" s="65">
        <f t="shared" si="45"/>
        <v>2.1900000000000004</v>
      </c>
      <c r="M69" s="64">
        <f t="shared" si="46"/>
        <v>7.8540311960498146</v>
      </c>
      <c r="N69" s="64">
        <f t="shared" si="47"/>
        <v>1.7706978627164807</v>
      </c>
      <c r="O69" s="64">
        <f t="shared" si="48"/>
        <v>29.107362126846255</v>
      </c>
      <c r="P69" s="64">
        <f t="shared" si="49"/>
        <v>3.3104019262206012E-2</v>
      </c>
      <c r="Q69" s="64">
        <f t="shared" si="50"/>
        <v>1.2910736212684626</v>
      </c>
      <c r="R69" s="64">
        <f t="shared" si="51"/>
        <v>6.0833333333333339</v>
      </c>
      <c r="S69" s="70">
        <f t="shared" si="52"/>
        <v>2.7777777777777777</v>
      </c>
      <c r="T69" s="66">
        <f t="shared" ref="T69:T87" si="54">0.1*E69*G69/0.02</f>
        <v>13</v>
      </c>
      <c r="U69" s="66">
        <f t="shared" si="39"/>
        <v>11.465796597094146</v>
      </c>
      <c r="V69" s="70">
        <v>21.175612212916</v>
      </c>
      <c r="W69" s="66">
        <f t="shared" si="41"/>
        <v>2.9842794901924208E-13</v>
      </c>
      <c r="X69" s="66">
        <f t="shared" ref="X69:X87" si="55">2*V69/3.6/E69</f>
        <v>5.8821145035877782</v>
      </c>
      <c r="Y69" s="66">
        <f t="shared" ref="Y69:Y86" si="56">F69+$I$2*V69/3.6</f>
        <v>8.9703664883366336</v>
      </c>
    </row>
    <row r="70" spans="1:25" s="57" customFormat="1" ht="18" customHeight="1">
      <c r="A70" s="71">
        <f t="shared" si="53"/>
        <v>67</v>
      </c>
      <c r="B70" s="72" t="s">
        <v>117</v>
      </c>
      <c r="C70" s="58">
        <v>25</v>
      </c>
      <c r="D70" s="56" t="s">
        <v>9</v>
      </c>
      <c r="E70" s="60">
        <v>2</v>
      </c>
      <c r="F70" s="63">
        <v>8.6</v>
      </c>
      <c r="G70" s="60">
        <v>1.3</v>
      </c>
      <c r="H70" s="63">
        <f t="shared" si="42"/>
        <v>2.6</v>
      </c>
      <c r="I70" s="63">
        <v>7.6068376068376103E-2</v>
      </c>
      <c r="J70" s="63">
        <f t="shared" si="43"/>
        <v>12</v>
      </c>
      <c r="K70" s="64">
        <f t="shared" si="44"/>
        <v>11.7</v>
      </c>
      <c r="L70" s="65">
        <f t="shared" si="45"/>
        <v>3.51</v>
      </c>
      <c r="M70" s="64">
        <f t="shared" si="46"/>
        <v>13.641496159962065</v>
      </c>
      <c r="N70" s="64">
        <f t="shared" si="47"/>
        <v>1.9414961599620657</v>
      </c>
      <c r="O70" s="64">
        <f t="shared" si="48"/>
        <v>16.593984273180048</v>
      </c>
      <c r="P70" s="64">
        <f t="shared" si="49"/>
        <v>1.9059492958191988E-2</v>
      </c>
      <c r="Q70" s="64">
        <f t="shared" si="50"/>
        <v>1.1659398427318004</v>
      </c>
      <c r="R70" s="64">
        <f t="shared" si="51"/>
        <v>11.7</v>
      </c>
      <c r="S70" s="70">
        <f t="shared" si="52"/>
        <v>3.333333333333333</v>
      </c>
      <c r="T70" s="66">
        <f t="shared" si="54"/>
        <v>13</v>
      </c>
      <c r="U70" s="66">
        <f t="shared" si="39"/>
        <v>11.064971010030435</v>
      </c>
      <c r="V70" s="70">
        <v>10.620843222451112</v>
      </c>
      <c r="W70" s="66">
        <f t="shared" si="41"/>
        <v>4.0591300276560105E-7</v>
      </c>
      <c r="X70" s="66">
        <f t="shared" si="55"/>
        <v>2.9502342284586422</v>
      </c>
      <c r="Y70" s="66">
        <f t="shared" si="56"/>
        <v>11.343717832466538</v>
      </c>
    </row>
    <row r="71" spans="1:25" s="57" customFormat="1" ht="18" customHeight="1">
      <c r="A71" s="71">
        <f t="shared" si="53"/>
        <v>68</v>
      </c>
      <c r="B71" s="72" t="s">
        <v>118</v>
      </c>
      <c r="C71" s="58" t="s">
        <v>28</v>
      </c>
      <c r="D71" s="56" t="s">
        <v>9</v>
      </c>
      <c r="E71" s="60">
        <v>2</v>
      </c>
      <c r="F71" s="63">
        <v>5</v>
      </c>
      <c r="G71" s="60">
        <v>1.3</v>
      </c>
      <c r="H71" s="63">
        <f t="shared" si="42"/>
        <v>2.6</v>
      </c>
      <c r="I71" s="63">
        <v>7.6068376068376062E-2</v>
      </c>
      <c r="J71" s="63">
        <f t="shared" si="43"/>
        <v>12</v>
      </c>
      <c r="K71" s="64">
        <f t="shared" si="44"/>
        <v>8.1</v>
      </c>
      <c r="L71" s="65">
        <f t="shared" si="45"/>
        <v>2.4300000000000002</v>
      </c>
      <c r="M71" s="64">
        <f t="shared" si="46"/>
        <v>10.178009197841526</v>
      </c>
      <c r="N71" s="64">
        <f t="shared" si="47"/>
        <v>2.078009197841526</v>
      </c>
      <c r="O71" s="64">
        <f t="shared" si="48"/>
        <v>25.654434541253408</v>
      </c>
      <c r="P71" s="64">
        <f t="shared" si="49"/>
        <v>2.55452706856601E-2</v>
      </c>
      <c r="Q71" s="64">
        <f t="shared" si="50"/>
        <v>1.256544345412534</v>
      </c>
      <c r="R71" s="64">
        <f t="shared" si="51"/>
        <v>8.1</v>
      </c>
      <c r="S71" s="70">
        <f t="shared" si="52"/>
        <v>3.333333333333333</v>
      </c>
      <c r="T71" s="66">
        <f t="shared" si="54"/>
        <v>13</v>
      </c>
      <c r="U71" s="66">
        <f t="shared" si="39"/>
        <v>11.064971010030435</v>
      </c>
      <c r="V71" s="70">
        <v>18.183408982108531</v>
      </c>
      <c r="W71" s="66">
        <f t="shared" si="41"/>
        <v>8.0928702672622421E-7</v>
      </c>
      <c r="X71" s="66">
        <f t="shared" si="55"/>
        <v>5.0509469394745921</v>
      </c>
      <c r="Y71" s="66">
        <f t="shared" si="56"/>
        <v>9.6973806537113703</v>
      </c>
    </row>
    <row r="72" spans="1:25" s="57" customFormat="1" ht="18" customHeight="1">
      <c r="A72" s="71">
        <f t="shared" si="53"/>
        <v>69</v>
      </c>
      <c r="B72" s="72" t="s">
        <v>49</v>
      </c>
      <c r="C72" s="58" t="s">
        <v>28</v>
      </c>
      <c r="D72" s="56" t="s">
        <v>9</v>
      </c>
      <c r="E72" s="60">
        <v>2</v>
      </c>
      <c r="F72" s="63">
        <v>12.4</v>
      </c>
      <c r="G72" s="60">
        <v>1.3</v>
      </c>
      <c r="H72" s="63">
        <f t="shared" si="42"/>
        <v>2.6</v>
      </c>
      <c r="I72" s="63">
        <v>7.6068376068376062E-2</v>
      </c>
      <c r="J72" s="63">
        <f t="shared" si="43"/>
        <v>12</v>
      </c>
      <c r="K72" s="64">
        <f t="shared" si="44"/>
        <v>15.5</v>
      </c>
      <c r="L72" s="65">
        <f t="shared" si="45"/>
        <v>4.6500000000000004</v>
      </c>
      <c r="M72" s="64">
        <f t="shared" si="46"/>
        <v>17.367278579506387</v>
      </c>
      <c r="N72" s="64">
        <f t="shared" si="47"/>
        <v>1.8672785795063866</v>
      </c>
      <c r="O72" s="64">
        <f t="shared" si="48"/>
        <v>12.046958577460559</v>
      </c>
      <c r="P72" s="64">
        <f t="shared" si="49"/>
        <v>1.4970681722512551E-2</v>
      </c>
      <c r="Q72" s="64">
        <f t="shared" si="50"/>
        <v>1.1204695857746056</v>
      </c>
      <c r="R72" s="64">
        <f t="shared" si="51"/>
        <v>15.5</v>
      </c>
      <c r="S72" s="70">
        <f t="shared" si="52"/>
        <v>3.333333333333333</v>
      </c>
      <c r="T72" s="66">
        <f t="shared" si="54"/>
        <v>13</v>
      </c>
      <c r="U72" s="66">
        <f t="shared" si="39"/>
        <v>11.064971010030435</v>
      </c>
      <c r="V72" s="70">
        <v>2</v>
      </c>
      <c r="W72" s="66">
        <f t="shared" si="41"/>
        <v>-0.28199740984930344</v>
      </c>
      <c r="X72" s="66">
        <f t="shared" si="55"/>
        <v>0.55555555555555558</v>
      </c>
      <c r="Y72" s="66">
        <f t="shared" si="56"/>
        <v>12.916666666666668</v>
      </c>
    </row>
    <row r="73" spans="1:25" s="57" customFormat="1" ht="18" customHeight="1">
      <c r="A73" s="71">
        <f t="shared" si="53"/>
        <v>70</v>
      </c>
      <c r="B73" s="74" t="s">
        <v>119</v>
      </c>
      <c r="C73" s="60">
        <v>20</v>
      </c>
      <c r="D73" s="59" t="s">
        <v>21</v>
      </c>
      <c r="E73" s="60">
        <v>2</v>
      </c>
      <c r="F73" s="63">
        <v>9.5</v>
      </c>
      <c r="G73" s="63">
        <v>3.5</v>
      </c>
      <c r="H73" s="63">
        <f t="shared" si="42"/>
        <v>7</v>
      </c>
      <c r="I73" s="63">
        <v>0.37254025044722744</v>
      </c>
      <c r="J73" s="63">
        <f t="shared" si="43"/>
        <v>15</v>
      </c>
      <c r="K73" s="64">
        <f t="shared" si="44"/>
        <v>13.375</v>
      </c>
      <c r="L73" s="65">
        <f t="shared" si="45"/>
        <v>3.21</v>
      </c>
      <c r="M73" s="64">
        <f t="shared" si="46"/>
        <v>15.837953029345474</v>
      </c>
      <c r="N73" s="64">
        <f t="shared" si="47"/>
        <v>2.4629530293454742</v>
      </c>
      <c r="O73" s="64">
        <f t="shared" si="48"/>
        <v>18.414602088564294</v>
      </c>
      <c r="P73" s="64">
        <f t="shared" si="49"/>
        <v>4.4197630760932277E-2</v>
      </c>
      <c r="Q73" s="64">
        <f t="shared" si="50"/>
        <v>1.1841460208856429</v>
      </c>
      <c r="R73" s="64">
        <f t="shared" si="51"/>
        <v>13.375</v>
      </c>
      <c r="S73" s="70">
        <f t="shared" si="52"/>
        <v>4.166666666666667</v>
      </c>
      <c r="T73" s="66">
        <f t="shared" si="54"/>
        <v>35</v>
      </c>
      <c r="U73" s="66">
        <f t="shared" si="39"/>
        <v>33.027926793609474</v>
      </c>
      <c r="V73" s="70">
        <v>56.859889713049235</v>
      </c>
      <c r="W73" s="66">
        <f t="shared" si="41"/>
        <v>0</v>
      </c>
      <c r="X73" s="66">
        <f t="shared" si="55"/>
        <v>15.794413809180343</v>
      </c>
      <c r="Y73" s="66">
        <f t="shared" si="56"/>
        <v>24.188804842537721</v>
      </c>
    </row>
    <row r="74" spans="1:25" s="57" customFormat="1" ht="18" customHeight="1">
      <c r="A74" s="71">
        <f t="shared" si="53"/>
        <v>71</v>
      </c>
      <c r="B74" s="72" t="s">
        <v>50</v>
      </c>
      <c r="C74" s="58" t="s">
        <v>51</v>
      </c>
      <c r="D74" s="56" t="s">
        <v>21</v>
      </c>
      <c r="E74" s="60">
        <v>2</v>
      </c>
      <c r="F74" s="63">
        <v>12.37142857142857</v>
      </c>
      <c r="G74" s="60">
        <v>3.5</v>
      </c>
      <c r="H74" s="63">
        <f t="shared" si="42"/>
        <v>7</v>
      </c>
      <c r="I74" s="63">
        <v>0.45769230769230773</v>
      </c>
      <c r="J74" s="63">
        <f t="shared" si="43"/>
        <v>42.857142857142861</v>
      </c>
      <c r="K74" s="64">
        <f t="shared" si="44"/>
        <v>23.442857142857143</v>
      </c>
      <c r="L74" s="65">
        <f t="shared" si="45"/>
        <v>1.9691999999999998</v>
      </c>
      <c r="M74" s="64">
        <f t="shared" si="46"/>
        <v>31.214034595190224</v>
      </c>
      <c r="N74" s="64">
        <f t="shared" si="47"/>
        <v>7.771177452333081</v>
      </c>
      <c r="O74" s="64">
        <f t="shared" si="48"/>
        <v>33.149446780214234</v>
      </c>
      <c r="P74" s="64">
        <f t="shared" si="49"/>
        <v>2.2425809706376861E-2</v>
      </c>
      <c r="Q74" s="64">
        <f t="shared" si="50"/>
        <v>1.3314944678021423</v>
      </c>
      <c r="R74" s="64">
        <f t="shared" si="51"/>
        <v>23.442857142857143</v>
      </c>
      <c r="S74" s="70">
        <f t="shared" si="52"/>
        <v>11.904761904761905</v>
      </c>
      <c r="T74" s="66">
        <f t="shared" si="54"/>
        <v>35</v>
      </c>
      <c r="U74" s="66">
        <f t="shared" si="39"/>
        <v>27.514896986075588</v>
      </c>
      <c r="V74" s="70">
        <v>51.152154885856611</v>
      </c>
      <c r="W74" s="66">
        <f t="shared" si="41"/>
        <v>-9.8074972498807256E-7</v>
      </c>
      <c r="X74" s="66">
        <f t="shared" si="55"/>
        <v>14.208931912737947</v>
      </c>
      <c r="Y74" s="66">
        <f t="shared" si="56"/>
        <v>25.585735250274862</v>
      </c>
    </row>
    <row r="75" spans="1:25" s="57" customFormat="1" ht="18" customHeight="1">
      <c r="A75" s="71">
        <f t="shared" si="53"/>
        <v>72</v>
      </c>
      <c r="B75" s="72" t="s">
        <v>52</v>
      </c>
      <c r="C75" s="58" t="s">
        <v>53</v>
      </c>
      <c r="D75" s="56" t="s">
        <v>9</v>
      </c>
      <c r="E75" s="60">
        <v>2</v>
      </c>
      <c r="F75" s="63">
        <v>10</v>
      </c>
      <c r="G75" s="60">
        <v>1.5</v>
      </c>
      <c r="H75" s="63">
        <f t="shared" si="42"/>
        <v>3</v>
      </c>
      <c r="I75" s="63">
        <v>7.6068376068376062E-2</v>
      </c>
      <c r="J75" s="63">
        <f t="shared" si="43"/>
        <v>75</v>
      </c>
      <c r="K75" s="64">
        <f t="shared" si="44"/>
        <v>29.375</v>
      </c>
      <c r="L75" s="65">
        <f t="shared" si="45"/>
        <v>1.41</v>
      </c>
      <c r="M75" s="64">
        <f t="shared" si="46"/>
        <v>44.07173765401717</v>
      </c>
      <c r="N75" s="64">
        <f t="shared" si="47"/>
        <v>14.69673765401717</v>
      </c>
      <c r="O75" s="64">
        <f t="shared" si="48"/>
        <v>50.031447332824406</v>
      </c>
      <c r="P75" s="64">
        <f t="shared" si="49"/>
        <v>6.8070835408200617E-3</v>
      </c>
      <c r="Q75" s="64">
        <f t="shared" si="50"/>
        <v>1.5003144733282441</v>
      </c>
      <c r="R75" s="64">
        <f t="shared" si="51"/>
        <v>29.375</v>
      </c>
      <c r="S75" s="70">
        <f t="shared" si="52"/>
        <v>20.833333333333332</v>
      </c>
      <c r="T75" s="66">
        <f t="shared" si="54"/>
        <v>15.000000000000002</v>
      </c>
      <c r="U75" s="67">
        <v>1</v>
      </c>
      <c r="V75" s="68">
        <v>12.086238216107674</v>
      </c>
      <c r="W75" s="66">
        <f t="shared" si="41"/>
        <v>0</v>
      </c>
      <c r="X75" s="66">
        <f t="shared" si="55"/>
        <v>3.3572883933632425</v>
      </c>
      <c r="Y75" s="66">
        <f t="shared" si="56"/>
        <v>13.122278205827815</v>
      </c>
    </row>
    <row r="76" spans="1:25" s="57" customFormat="1" ht="18" customHeight="1">
      <c r="A76" s="71">
        <f>A75+1</f>
        <v>73</v>
      </c>
      <c r="B76" s="72" t="s">
        <v>54</v>
      </c>
      <c r="C76" s="58">
        <v>120</v>
      </c>
      <c r="D76" s="56" t="s">
        <v>21</v>
      </c>
      <c r="E76" s="60">
        <v>4</v>
      </c>
      <c r="F76" s="63">
        <v>4.55</v>
      </c>
      <c r="G76" s="60">
        <v>2.5</v>
      </c>
      <c r="H76" s="60">
        <f t="shared" ref="H76:H83" si="57">E76*G76</f>
        <v>10</v>
      </c>
      <c r="I76" s="64">
        <v>0.45769230769230773</v>
      </c>
      <c r="J76" s="64">
        <f t="shared" ref="J76:J83" si="58">100/C76*3</f>
        <v>2.5</v>
      </c>
      <c r="K76" s="64">
        <f t="shared" ref="K76:K83" si="59">F76+$I$2*J76/3.6</f>
        <v>5.1958333333333329</v>
      </c>
      <c r="L76" s="65">
        <f t="shared" ref="L76:L83" si="60">K76*3.6/J76</f>
        <v>7.4819999999999993</v>
      </c>
      <c r="M76" s="64">
        <f t="shared" ref="M76:M83" si="61">K76/(1+(EXP(-L76*E76)-1)/L76/E76)</f>
        <v>5.3754459347344943</v>
      </c>
      <c r="N76" s="64">
        <f t="shared" ref="N76:N83" si="62">M76-K76</f>
        <v>0.17961260140116142</v>
      </c>
      <c r="O76" s="64">
        <f t="shared" ref="O76:O83" si="63">N76/K76*100</f>
        <v>3.4568584070792898</v>
      </c>
      <c r="P76" s="64">
        <f t="shared" ref="P76:P83" si="64">$F$2*H76/M76</f>
        <v>0.18603107763363494</v>
      </c>
      <c r="Q76" s="64">
        <f t="shared" ref="Q76:Q83" si="65">M76/K76</f>
        <v>1.034568584070793</v>
      </c>
      <c r="R76" s="64">
        <f t="shared" ref="R76:R83" si="66">K76</f>
        <v>5.1958333333333329</v>
      </c>
      <c r="S76" s="70">
        <f t="shared" ref="S76:S83" si="67">2*J76/3.6/E76</f>
        <v>0.34722222222222221</v>
      </c>
      <c r="T76" s="66">
        <f t="shared" si="54"/>
        <v>50</v>
      </c>
      <c r="U76" s="66">
        <f t="shared" ref="U76:U87" si="68">(T76^1.25-S76^1.25)^(1/1.25)</f>
        <v>49.919796374605177</v>
      </c>
      <c r="V76" s="70">
        <v>130.84156052628887</v>
      </c>
      <c r="W76" s="66">
        <f t="shared" si="41"/>
        <v>1.9895196601282805E-13</v>
      </c>
      <c r="X76" s="66">
        <f t="shared" si="55"/>
        <v>18.172438961984565</v>
      </c>
      <c r="Y76" s="66">
        <f t="shared" si="56"/>
        <v>38.350736469291292</v>
      </c>
    </row>
    <row r="77" spans="1:25" s="57" customFormat="1" ht="18" customHeight="1">
      <c r="A77" s="71">
        <f t="shared" ref="A77:A83" si="69">A76+1</f>
        <v>74</v>
      </c>
      <c r="B77" s="72" t="s">
        <v>120</v>
      </c>
      <c r="C77" s="58">
        <v>50</v>
      </c>
      <c r="D77" s="56" t="s">
        <v>9</v>
      </c>
      <c r="E77" s="60">
        <v>4</v>
      </c>
      <c r="F77" s="63">
        <v>3.1</v>
      </c>
      <c r="G77" s="60">
        <v>1.5</v>
      </c>
      <c r="H77" s="60">
        <f t="shared" si="57"/>
        <v>6</v>
      </c>
      <c r="I77" s="64">
        <v>7.6068376068376062E-2</v>
      </c>
      <c r="J77" s="64">
        <f t="shared" si="58"/>
        <v>6</v>
      </c>
      <c r="K77" s="64">
        <f t="shared" si="59"/>
        <v>4.6500000000000004</v>
      </c>
      <c r="L77" s="65">
        <f t="shared" si="60"/>
        <v>2.7900000000000005</v>
      </c>
      <c r="M77" s="64">
        <f t="shared" si="61"/>
        <v>5.1076700104685493</v>
      </c>
      <c r="N77" s="64">
        <f t="shared" si="62"/>
        <v>0.45767001046854894</v>
      </c>
      <c r="O77" s="64">
        <f t="shared" si="63"/>
        <v>9.8423658165279324</v>
      </c>
      <c r="P77" s="64">
        <f t="shared" si="64"/>
        <v>0.11747039232570927</v>
      </c>
      <c r="Q77" s="64">
        <f t="shared" si="65"/>
        <v>1.0984236581652793</v>
      </c>
      <c r="R77" s="64">
        <f t="shared" si="66"/>
        <v>4.6500000000000004</v>
      </c>
      <c r="S77" s="70">
        <f t="shared" si="67"/>
        <v>0.83333333333333326</v>
      </c>
      <c r="T77" s="66">
        <f t="shared" si="54"/>
        <v>30.000000000000004</v>
      </c>
      <c r="U77" s="66">
        <f t="shared" si="68"/>
        <v>29.727524422224334</v>
      </c>
      <c r="V77" s="70">
        <v>77.513810768530405</v>
      </c>
      <c r="W77" s="66">
        <f t="shared" si="41"/>
        <v>0</v>
      </c>
      <c r="X77" s="66">
        <f t="shared" si="55"/>
        <v>10.765807051184778</v>
      </c>
      <c r="Y77" s="66">
        <f t="shared" si="56"/>
        <v>23.124401115203689</v>
      </c>
    </row>
    <row r="78" spans="1:25" s="57" customFormat="1" ht="18" customHeight="1">
      <c r="A78" s="71">
        <f t="shared" si="69"/>
        <v>75</v>
      </c>
      <c r="B78" s="72" t="s">
        <v>55</v>
      </c>
      <c r="C78" s="58">
        <v>25</v>
      </c>
      <c r="D78" s="56" t="s">
        <v>56</v>
      </c>
      <c r="E78" s="60">
        <v>4</v>
      </c>
      <c r="F78" s="63">
        <v>4.9000000000000004</v>
      </c>
      <c r="G78" s="60">
        <v>1</v>
      </c>
      <c r="H78" s="60">
        <f t="shared" si="57"/>
        <v>4</v>
      </c>
      <c r="I78" s="64">
        <v>7.9401709401709403E-2</v>
      </c>
      <c r="J78" s="64">
        <f t="shared" si="58"/>
        <v>12</v>
      </c>
      <c r="K78" s="64">
        <f t="shared" si="59"/>
        <v>8</v>
      </c>
      <c r="L78" s="65">
        <f t="shared" si="60"/>
        <v>2.4</v>
      </c>
      <c r="M78" s="64">
        <f t="shared" si="61"/>
        <v>8.9301622292320424</v>
      </c>
      <c r="N78" s="64">
        <f t="shared" si="62"/>
        <v>0.93016222923204239</v>
      </c>
      <c r="O78" s="64">
        <f t="shared" si="63"/>
        <v>11.62702786540053</v>
      </c>
      <c r="P78" s="64">
        <f t="shared" si="64"/>
        <v>4.4792019420502552E-2</v>
      </c>
      <c r="Q78" s="64">
        <f t="shared" si="65"/>
        <v>1.1162702786540053</v>
      </c>
      <c r="R78" s="64">
        <f t="shared" si="66"/>
        <v>8</v>
      </c>
      <c r="S78" s="70">
        <f t="shared" si="67"/>
        <v>1.6666666666666665</v>
      </c>
      <c r="T78" s="66">
        <f t="shared" si="54"/>
        <v>20</v>
      </c>
      <c r="U78" s="66">
        <f t="shared" si="68"/>
        <v>19.280353642751894</v>
      </c>
      <c r="V78" s="70">
        <v>44.019988319636852</v>
      </c>
      <c r="W78" s="66">
        <f t="shared" si="41"/>
        <v>2.2737367544323206E-13</v>
      </c>
      <c r="X78" s="66">
        <f t="shared" si="55"/>
        <v>6.1138872666162296</v>
      </c>
      <c r="Y78" s="66">
        <f t="shared" si="56"/>
        <v>16.271830315906186</v>
      </c>
    </row>
    <row r="79" spans="1:25" s="57" customFormat="1" ht="18" customHeight="1">
      <c r="A79" s="71">
        <f t="shared" si="69"/>
        <v>76</v>
      </c>
      <c r="B79" s="72" t="s">
        <v>57</v>
      </c>
      <c r="C79" s="58">
        <v>20</v>
      </c>
      <c r="D79" s="56" t="s">
        <v>21</v>
      </c>
      <c r="E79" s="60">
        <v>4</v>
      </c>
      <c r="F79" s="63">
        <v>8.3000000000000007</v>
      </c>
      <c r="G79" s="60">
        <v>5.8</v>
      </c>
      <c r="H79" s="60">
        <f t="shared" si="57"/>
        <v>23.2</v>
      </c>
      <c r="I79" s="64">
        <v>0.45769230769230773</v>
      </c>
      <c r="J79" s="64">
        <f t="shared" si="58"/>
        <v>15</v>
      </c>
      <c r="K79" s="64">
        <f t="shared" si="59"/>
        <v>12.175000000000001</v>
      </c>
      <c r="L79" s="65">
        <f t="shared" si="60"/>
        <v>2.9220000000000002</v>
      </c>
      <c r="M79" s="64">
        <f t="shared" si="61"/>
        <v>13.314117537615623</v>
      </c>
      <c r="N79" s="64">
        <f t="shared" si="62"/>
        <v>1.139117537615622</v>
      </c>
      <c r="O79" s="64">
        <f t="shared" si="63"/>
        <v>9.3562015409907335</v>
      </c>
      <c r="P79" s="64">
        <f t="shared" si="64"/>
        <v>0.17425112805602289</v>
      </c>
      <c r="Q79" s="64">
        <f t="shared" si="65"/>
        <v>1.0935620154099073</v>
      </c>
      <c r="R79" s="64">
        <f t="shared" si="66"/>
        <v>12.175000000000001</v>
      </c>
      <c r="S79" s="70">
        <f t="shared" si="67"/>
        <v>2.0833333333333335</v>
      </c>
      <c r="T79" s="66">
        <f t="shared" si="54"/>
        <v>115.99999999999999</v>
      </c>
      <c r="U79" s="66">
        <f t="shared" si="68"/>
        <v>115.38946560138791</v>
      </c>
      <c r="V79" s="70">
        <v>309.58507273305696</v>
      </c>
      <c r="W79" s="66">
        <f t="shared" si="41"/>
        <v>0</v>
      </c>
      <c r="X79" s="66">
        <f t="shared" si="55"/>
        <v>42.997926768480134</v>
      </c>
      <c r="Y79" s="66">
        <f t="shared" si="56"/>
        <v>88.276143789373037</v>
      </c>
    </row>
    <row r="80" spans="1:25" s="57" customFormat="1" ht="18" customHeight="1">
      <c r="A80" s="71">
        <f t="shared" si="69"/>
        <v>77</v>
      </c>
      <c r="B80" s="72" t="s">
        <v>58</v>
      </c>
      <c r="C80" s="58">
        <v>15</v>
      </c>
      <c r="D80" s="56" t="s">
        <v>9</v>
      </c>
      <c r="E80" s="60">
        <v>4</v>
      </c>
      <c r="F80" s="63">
        <v>4.5</v>
      </c>
      <c r="G80" s="60">
        <v>1.3</v>
      </c>
      <c r="H80" s="60">
        <f t="shared" si="57"/>
        <v>5.2</v>
      </c>
      <c r="I80" s="64">
        <v>7.6068376068376062E-2</v>
      </c>
      <c r="J80" s="64">
        <f t="shared" si="58"/>
        <v>20</v>
      </c>
      <c r="K80" s="64">
        <f t="shared" si="59"/>
        <v>9.6666666666666679</v>
      </c>
      <c r="L80" s="65">
        <f t="shared" si="60"/>
        <v>1.7400000000000002</v>
      </c>
      <c r="M80" s="64">
        <f t="shared" si="61"/>
        <v>11.286793245502206</v>
      </c>
      <c r="N80" s="64">
        <f t="shared" si="62"/>
        <v>1.6201265788355386</v>
      </c>
      <c r="O80" s="64">
        <f t="shared" si="63"/>
        <v>16.759930125884882</v>
      </c>
      <c r="P80" s="64">
        <f t="shared" si="64"/>
        <v>4.6071544741658157E-2</v>
      </c>
      <c r="Q80" s="64">
        <f t="shared" si="65"/>
        <v>1.1675993012588488</v>
      </c>
      <c r="R80" s="64">
        <f t="shared" si="66"/>
        <v>9.6666666666666679</v>
      </c>
      <c r="S80" s="70">
        <f t="shared" si="67"/>
        <v>2.7777777777777777</v>
      </c>
      <c r="T80" s="66">
        <f t="shared" si="54"/>
        <v>26</v>
      </c>
      <c r="U80" s="66">
        <f t="shared" si="68"/>
        <v>24.721561533490931</v>
      </c>
      <c r="V80" s="70">
        <v>62.298970360944004</v>
      </c>
      <c r="W80" s="66">
        <f t="shared" si="41"/>
        <v>0</v>
      </c>
      <c r="X80" s="66">
        <f t="shared" si="55"/>
        <v>8.6526347723533341</v>
      </c>
      <c r="Y80" s="66">
        <f t="shared" si="56"/>
        <v>20.593900676577203</v>
      </c>
    </row>
    <row r="81" spans="1:25" s="57" customFormat="1" ht="18" customHeight="1">
      <c r="A81" s="71">
        <f t="shared" si="69"/>
        <v>78</v>
      </c>
      <c r="B81" s="72" t="s">
        <v>59</v>
      </c>
      <c r="C81" s="58" t="s">
        <v>30</v>
      </c>
      <c r="D81" s="56" t="s">
        <v>21</v>
      </c>
      <c r="E81" s="60">
        <v>4</v>
      </c>
      <c r="F81" s="63">
        <v>7.8</v>
      </c>
      <c r="G81" s="60">
        <v>2.2999999999999998</v>
      </c>
      <c r="H81" s="60">
        <f t="shared" si="57"/>
        <v>9.1999999999999993</v>
      </c>
      <c r="I81" s="64">
        <v>0.45769230769230773</v>
      </c>
      <c r="J81" s="64">
        <f t="shared" si="58"/>
        <v>20</v>
      </c>
      <c r="K81" s="64">
        <f t="shared" si="59"/>
        <v>12.966666666666667</v>
      </c>
      <c r="L81" s="65">
        <f t="shared" si="60"/>
        <v>2.3340000000000001</v>
      </c>
      <c r="M81" s="64">
        <f t="shared" si="61"/>
        <v>14.522015268921178</v>
      </c>
      <c r="N81" s="64">
        <f t="shared" si="62"/>
        <v>1.5553486022545115</v>
      </c>
      <c r="O81" s="64">
        <f t="shared" si="63"/>
        <v>11.994976367001374</v>
      </c>
      <c r="P81" s="64">
        <f t="shared" si="64"/>
        <v>6.3352088739977303E-2</v>
      </c>
      <c r="Q81" s="64">
        <f t="shared" si="65"/>
        <v>1.1199497636700138</v>
      </c>
      <c r="R81" s="64">
        <f t="shared" si="66"/>
        <v>12.966666666666667</v>
      </c>
      <c r="S81" s="70">
        <f t="shared" si="67"/>
        <v>2.7777777777777777</v>
      </c>
      <c r="T81" s="66">
        <f t="shared" si="54"/>
        <v>45.999999999999993</v>
      </c>
      <c r="U81" s="66">
        <f t="shared" si="68"/>
        <v>44.89506612574921</v>
      </c>
      <c r="V81" s="70">
        <v>110.65757744049785</v>
      </c>
      <c r="W81" s="66">
        <f t="shared" si="41"/>
        <v>0</v>
      </c>
      <c r="X81" s="66">
        <f t="shared" si="55"/>
        <v>15.369107977846923</v>
      </c>
      <c r="Y81" s="66">
        <f t="shared" si="56"/>
        <v>36.386540838795277</v>
      </c>
    </row>
    <row r="82" spans="1:25" s="57" customFormat="1" ht="18" customHeight="1">
      <c r="A82" s="71">
        <f t="shared" si="69"/>
        <v>79</v>
      </c>
      <c r="B82" s="72" t="s">
        <v>121</v>
      </c>
      <c r="C82" s="58">
        <v>10</v>
      </c>
      <c r="D82" s="56" t="s">
        <v>9</v>
      </c>
      <c r="E82" s="60">
        <v>4</v>
      </c>
      <c r="F82" s="63">
        <v>8.5</v>
      </c>
      <c r="G82" s="60">
        <v>1.5</v>
      </c>
      <c r="H82" s="60">
        <f t="shared" si="57"/>
        <v>6</v>
      </c>
      <c r="I82" s="64">
        <v>8.8333333333333333E-2</v>
      </c>
      <c r="J82" s="64">
        <f t="shared" si="58"/>
        <v>30</v>
      </c>
      <c r="K82" s="64">
        <f t="shared" si="59"/>
        <v>16.25</v>
      </c>
      <c r="L82" s="65">
        <f t="shared" si="60"/>
        <v>1.95</v>
      </c>
      <c r="M82" s="64">
        <f t="shared" si="61"/>
        <v>18.638582811862261</v>
      </c>
      <c r="N82" s="64">
        <f t="shared" si="62"/>
        <v>2.3885828118622605</v>
      </c>
      <c r="O82" s="64">
        <f t="shared" si="63"/>
        <v>14.698971149921602</v>
      </c>
      <c r="P82" s="64">
        <f t="shared" si="64"/>
        <v>3.2191288686291029E-2</v>
      </c>
      <c r="Q82" s="64">
        <f t="shared" si="65"/>
        <v>1.146989711499216</v>
      </c>
      <c r="R82" s="64">
        <f t="shared" si="66"/>
        <v>16.25</v>
      </c>
      <c r="S82" s="70">
        <f t="shared" si="67"/>
        <v>4.166666666666667</v>
      </c>
      <c r="T82" s="66">
        <f t="shared" si="54"/>
        <v>30.000000000000004</v>
      </c>
      <c r="U82" s="66">
        <f t="shared" si="68"/>
        <v>27.947220421584735</v>
      </c>
      <c r="V82" s="70">
        <v>62.889897441717402</v>
      </c>
      <c r="W82" s="66">
        <f t="shared" si="41"/>
        <v>2.3447910280083306E-13</v>
      </c>
      <c r="X82" s="66">
        <f t="shared" si="55"/>
        <v>8.7347079780163064</v>
      </c>
      <c r="Y82" s="66">
        <f t="shared" si="56"/>
        <v>24.74655683911033</v>
      </c>
    </row>
    <row r="83" spans="1:25" s="57" customFormat="1" ht="18" customHeight="1">
      <c r="A83" s="71">
        <f t="shared" si="69"/>
        <v>80</v>
      </c>
      <c r="B83" s="72" t="s">
        <v>122</v>
      </c>
      <c r="C83" s="58" t="s">
        <v>51</v>
      </c>
      <c r="D83" s="56" t="s">
        <v>21</v>
      </c>
      <c r="E83" s="60">
        <v>4</v>
      </c>
      <c r="F83" s="63">
        <v>17.857142857142854</v>
      </c>
      <c r="G83" s="60">
        <v>3</v>
      </c>
      <c r="H83" s="60">
        <f t="shared" si="57"/>
        <v>12</v>
      </c>
      <c r="I83" s="64">
        <v>0.45769230769230773</v>
      </c>
      <c r="J83" s="64">
        <f t="shared" si="58"/>
        <v>42.857142857142861</v>
      </c>
      <c r="K83" s="64">
        <f t="shared" si="59"/>
        <v>28.928571428571427</v>
      </c>
      <c r="L83" s="65">
        <f t="shared" si="60"/>
        <v>2.4299999999999997</v>
      </c>
      <c r="M83" s="64">
        <f t="shared" si="61"/>
        <v>32.245846018087882</v>
      </c>
      <c r="N83" s="64">
        <f t="shared" si="62"/>
        <v>3.3172745895164546</v>
      </c>
      <c r="O83" s="64">
        <f t="shared" si="63"/>
        <v>11.467122037834658</v>
      </c>
      <c r="P83" s="64">
        <f t="shared" si="64"/>
        <v>3.7214095711022001E-2</v>
      </c>
      <c r="Q83" s="64">
        <f t="shared" si="65"/>
        <v>1.1146712203783466</v>
      </c>
      <c r="R83" s="64">
        <f t="shared" si="66"/>
        <v>28.928571428571427</v>
      </c>
      <c r="S83" s="70">
        <f t="shared" si="67"/>
        <v>5.9523809523809526</v>
      </c>
      <c r="T83" s="66">
        <f t="shared" si="54"/>
        <v>60.000000000000007</v>
      </c>
      <c r="U83" s="66">
        <f t="shared" si="68"/>
        <v>57.312291722863172</v>
      </c>
      <c r="V83" s="70">
        <v>123.43189830737636</v>
      </c>
      <c r="W83" s="66">
        <f t="shared" si="41"/>
        <v>0</v>
      </c>
      <c r="X83" s="66">
        <f t="shared" si="55"/>
        <v>17.143319209357827</v>
      </c>
      <c r="Y83" s="66">
        <f t="shared" si="56"/>
        <v>49.743716586548416</v>
      </c>
    </row>
    <row r="84" spans="1:25" s="57" customFormat="1" ht="18" customHeight="1">
      <c r="A84" s="71">
        <f>A83+1</f>
        <v>81</v>
      </c>
      <c r="B84" s="72" t="s">
        <v>60</v>
      </c>
      <c r="C84" s="58" t="s">
        <v>18</v>
      </c>
      <c r="D84" s="56" t="s">
        <v>56</v>
      </c>
      <c r="E84" s="60">
        <v>8</v>
      </c>
      <c r="F84" s="63">
        <v>4</v>
      </c>
      <c r="G84" s="60">
        <v>1</v>
      </c>
      <c r="H84" s="60">
        <f>E84*G84</f>
        <v>8</v>
      </c>
      <c r="I84" s="64">
        <v>7.9401709401709403E-2</v>
      </c>
      <c r="J84" s="64">
        <f>100/C84*3</f>
        <v>15</v>
      </c>
      <c r="K84" s="64">
        <f>F84+$I$2*J84/3.6</f>
        <v>7.875</v>
      </c>
      <c r="L84" s="65">
        <f>K84*3.6/J84</f>
        <v>1.8900000000000001</v>
      </c>
      <c r="M84" s="64">
        <f>K84/(1+(EXP(-L84*E84)-1)/L84/E84)</f>
        <v>8.4327193847103619</v>
      </c>
      <c r="N84" s="64">
        <f>M84-K84</f>
        <v>0.55771938471036187</v>
      </c>
      <c r="O84" s="64">
        <f>N84/K84*100</f>
        <v>7.0821509169569765</v>
      </c>
      <c r="P84" s="64">
        <f>$F$2*H84/M84</f>
        <v>9.4868566532701912E-2</v>
      </c>
      <c r="Q84" s="64">
        <f>M84/K84</f>
        <v>1.0708215091695699</v>
      </c>
      <c r="R84" s="64">
        <f>K84</f>
        <v>7.875</v>
      </c>
      <c r="S84" s="70">
        <f t="shared" ref="S84:S87" si="70">2*J84/3.6/E84</f>
        <v>1.0416666666666667</v>
      </c>
      <c r="T84" s="66">
        <f t="shared" si="54"/>
        <v>40</v>
      </c>
      <c r="U84" s="66">
        <f t="shared" si="68"/>
        <v>39.664886480187697</v>
      </c>
      <c r="V84" s="70">
        <v>121.3975385168085</v>
      </c>
      <c r="W84" s="66">
        <f t="shared" si="41"/>
        <v>0</v>
      </c>
      <c r="X84" s="66">
        <f t="shared" si="55"/>
        <v>8.4303846192228118</v>
      </c>
      <c r="Y84" s="66">
        <f t="shared" si="56"/>
        <v>35.361030783508866</v>
      </c>
    </row>
    <row r="85" spans="1:25" s="57" customFormat="1" ht="18" customHeight="1">
      <c r="A85" s="71">
        <f>A84+1</f>
        <v>82</v>
      </c>
      <c r="B85" s="72" t="s">
        <v>61</v>
      </c>
      <c r="C85" s="58" t="s">
        <v>33</v>
      </c>
      <c r="D85" s="56" t="s">
        <v>9</v>
      </c>
      <c r="E85" s="60">
        <v>8</v>
      </c>
      <c r="F85" s="63">
        <v>5.5</v>
      </c>
      <c r="G85" s="60">
        <v>1.3</v>
      </c>
      <c r="H85" s="60">
        <f>E85*G85</f>
        <v>10.4</v>
      </c>
      <c r="I85" s="64">
        <v>7.6068376068376062E-2</v>
      </c>
      <c r="J85" s="64">
        <f>100/C85*3</f>
        <v>30</v>
      </c>
      <c r="K85" s="64">
        <f>F85+$I$2*J85/3.6</f>
        <v>13.25</v>
      </c>
      <c r="L85" s="65">
        <f>K85*3.6/J85</f>
        <v>1.59</v>
      </c>
      <c r="M85" s="64">
        <f>K85/(1+(EXP(-L85*E85)-1)/L85/E85)</f>
        <v>14.380542405458975</v>
      </c>
      <c r="N85" s="64">
        <f>M85-K85</f>
        <v>1.130542405458975</v>
      </c>
      <c r="O85" s="64">
        <f>N85/K85*100</f>
        <v>8.5323955128979243</v>
      </c>
      <c r="P85" s="64">
        <f>$F$2*H85/M85</f>
        <v>7.2319942508233023E-2</v>
      </c>
      <c r="Q85" s="64">
        <f>M85/K85</f>
        <v>1.0853239551289793</v>
      </c>
      <c r="R85" s="64">
        <f>K85</f>
        <v>13.25</v>
      </c>
      <c r="S85" s="70">
        <f t="shared" si="70"/>
        <v>2.0833333333333335</v>
      </c>
      <c r="T85" s="66">
        <f t="shared" si="54"/>
        <v>52</v>
      </c>
      <c r="U85" s="66">
        <f t="shared" si="68"/>
        <v>51.252999348628443</v>
      </c>
      <c r="V85" s="70">
        <v>156.83901130807462</v>
      </c>
      <c r="W85" s="66">
        <f t="shared" ref="W85:W87" si="71">T85^1.25-(2*V85/3.6/E85)^1.25-(F85+$I$2*V85/3.6)^1.25</f>
        <v>3.2684965844964609E-13</v>
      </c>
      <c r="X85" s="66">
        <f t="shared" si="55"/>
        <v>10.891598007505182</v>
      </c>
      <c r="Y85" s="66">
        <f t="shared" si="56"/>
        <v>46.016744587919277</v>
      </c>
    </row>
    <row r="86" spans="1:25" s="57" customFormat="1" ht="18" customHeight="1">
      <c r="A86" s="71">
        <f>A85+1</f>
        <v>83</v>
      </c>
      <c r="B86" s="72" t="s">
        <v>123</v>
      </c>
      <c r="C86" s="75">
        <v>7</v>
      </c>
      <c r="D86" s="76" t="s">
        <v>21</v>
      </c>
      <c r="E86" s="75">
        <v>8</v>
      </c>
      <c r="F86" s="77">
        <v>17.8571428571429</v>
      </c>
      <c r="G86" s="75">
        <v>3</v>
      </c>
      <c r="H86" s="75">
        <f>E86*G86</f>
        <v>24</v>
      </c>
      <c r="I86" s="78">
        <v>7.6068376068376062E-2</v>
      </c>
      <c r="J86" s="78">
        <f>100/C86*3</f>
        <v>42.857142857142861</v>
      </c>
      <c r="K86" s="78">
        <f>F86+$I$2*J86/3.6</f>
        <v>28.928571428571473</v>
      </c>
      <c r="L86" s="79">
        <f>K86*3.6/J86</f>
        <v>2.4300000000000037</v>
      </c>
      <c r="M86" s="78">
        <f>K86/(1+(EXP(-L86*E86)-1)/L86/E86)</f>
        <v>30.497365968621615</v>
      </c>
      <c r="N86" s="78">
        <f>M86-K86</f>
        <v>1.568794540050142</v>
      </c>
      <c r="O86" s="78">
        <f>N86/K86*100</f>
        <v>5.4229934717782609</v>
      </c>
      <c r="P86" s="78">
        <f>$F$2*H86/M86</f>
        <v>7.8695320850637809E-2</v>
      </c>
      <c r="Q86" s="78">
        <f>M86/K86</f>
        <v>1.0542299347177826</v>
      </c>
      <c r="R86" s="78">
        <f>K86</f>
        <v>28.928571428571473</v>
      </c>
      <c r="S86" s="81">
        <f t="shared" si="70"/>
        <v>2.9761904761904763</v>
      </c>
      <c r="T86" s="80">
        <f t="shared" si="54"/>
        <v>120.00000000000001</v>
      </c>
      <c r="U86" s="80">
        <f t="shared" si="68"/>
        <v>119.05419956978037</v>
      </c>
      <c r="V86" s="81">
        <v>345.08185079421747</v>
      </c>
      <c r="W86" s="80">
        <f t="shared" si="71"/>
        <v>6.8212102632969618E-13</v>
      </c>
      <c r="X86" s="80">
        <f t="shared" si="55"/>
        <v>23.964017416265101</v>
      </c>
      <c r="Y86" s="80">
        <f t="shared" si="56"/>
        <v>107.0032876456491</v>
      </c>
    </row>
    <row r="87" spans="1:25" s="57" customFormat="1" ht="18" customHeight="1" thickBot="1">
      <c r="A87" s="82">
        <f>A86+1</f>
        <v>84</v>
      </c>
      <c r="B87" s="83" t="s">
        <v>62</v>
      </c>
      <c r="C87" s="84">
        <v>5</v>
      </c>
      <c r="D87" s="85" t="s">
        <v>9</v>
      </c>
      <c r="E87" s="86">
        <v>8</v>
      </c>
      <c r="F87" s="87">
        <v>8.5</v>
      </c>
      <c r="G87" s="86">
        <v>1.5</v>
      </c>
      <c r="H87" s="86">
        <f>E87*G87</f>
        <v>12</v>
      </c>
      <c r="I87" s="88">
        <v>7.6068376068376062E-2</v>
      </c>
      <c r="J87" s="88">
        <f>100/C87*3</f>
        <v>60</v>
      </c>
      <c r="K87" s="88">
        <f>F87+$I$2*J87/3.6</f>
        <v>24</v>
      </c>
      <c r="L87" s="89">
        <f>K87*3.6/J87</f>
        <v>1.4400000000000002</v>
      </c>
      <c r="M87" s="88">
        <f>K87/(1+(EXP(-L87*E87)-1)/L87/E87)</f>
        <v>26.281344015140821</v>
      </c>
      <c r="N87" s="88">
        <f>M87-K87</f>
        <v>2.2813440151408209</v>
      </c>
      <c r="O87" s="88">
        <f>N87/K87*100</f>
        <v>9.5056000630867548</v>
      </c>
      <c r="P87" s="88">
        <f>$F$2*H87/M87</f>
        <v>4.5659765319029114E-2</v>
      </c>
      <c r="Q87" s="88">
        <f>M87/K87</f>
        <v>1.0950560006308676</v>
      </c>
      <c r="R87" s="88">
        <f>K87</f>
        <v>24</v>
      </c>
      <c r="S87" s="91">
        <f t="shared" si="70"/>
        <v>4.166666666666667</v>
      </c>
      <c r="T87" s="90">
        <f t="shared" si="54"/>
        <v>60.000000000000007</v>
      </c>
      <c r="U87" s="90">
        <f t="shared" si="68"/>
        <v>58.28266103730887</v>
      </c>
      <c r="V87" s="91">
        <v>173.94074598279971</v>
      </c>
      <c r="W87" s="90">
        <f t="shared" si="71"/>
        <v>0</v>
      </c>
      <c r="X87" s="90">
        <f t="shared" si="55"/>
        <v>12.079218471027758</v>
      </c>
      <c r="Y87" s="90">
        <f>F87+$I$2*V87/3.6</f>
        <v>53.43469271222326</v>
      </c>
    </row>
  </sheetData>
  <mergeCells count="3">
    <mergeCell ref="D2:E2"/>
    <mergeCell ref="G2:H2"/>
    <mergeCell ref="A1:Y1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8E47D-AEB6-4795-B43B-B07928E77A41}">
  <sheetPr codeName="Sheet6"/>
  <dimension ref="A1:AH96"/>
  <sheetViews>
    <sheetView tabSelected="1" topLeftCell="I1" zoomScale="40" zoomScaleNormal="40" workbookViewId="0">
      <selection activeCell="AY52" sqref="AY52"/>
    </sheetView>
  </sheetViews>
  <sheetFormatPr defaultColWidth="9.140625" defaultRowHeight="15"/>
  <cols>
    <col min="1" max="1" width="18.7109375" style="54" customWidth="1"/>
    <col min="2" max="2" width="35.7109375" style="54" customWidth="1"/>
    <col min="3" max="3" width="18.7109375" style="54" customWidth="1"/>
    <col min="4" max="4" width="25.7109375" style="54" customWidth="1"/>
    <col min="5" max="19" width="18.7109375" style="54" customWidth="1"/>
    <col min="20" max="23" width="18.7109375" style="3" customWidth="1"/>
    <col min="24" max="16384" width="9.140625" style="3"/>
  </cols>
  <sheetData>
    <row r="1" spans="1:34" ht="35.1" customHeight="1">
      <c r="A1" s="99" t="s">
        <v>177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</row>
    <row r="2" spans="1:34" s="13" customFormat="1" ht="18" customHeight="1">
      <c r="A2" s="101"/>
      <c r="B2" s="101"/>
      <c r="C2" s="101"/>
      <c r="D2" s="52" t="s">
        <v>168</v>
      </c>
      <c r="E2" s="52"/>
      <c r="F2" s="101">
        <v>0.1</v>
      </c>
      <c r="G2" s="52" t="s">
        <v>170</v>
      </c>
      <c r="H2" s="52"/>
      <c r="I2" s="101">
        <v>0.93</v>
      </c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34" s="13" customFormat="1" ht="50.1" customHeight="1" thickBot="1">
      <c r="A3" s="104" t="s">
        <v>63</v>
      </c>
      <c r="B3" s="105" t="s">
        <v>126</v>
      </c>
      <c r="C3" s="106" t="s">
        <v>173</v>
      </c>
      <c r="D3" s="106" t="s">
        <v>5</v>
      </c>
      <c r="E3" s="107" t="s">
        <v>6</v>
      </c>
      <c r="F3" s="107" t="s">
        <v>127</v>
      </c>
      <c r="G3" s="107" t="s">
        <v>7</v>
      </c>
      <c r="H3" s="107" t="s">
        <v>65</v>
      </c>
      <c r="I3" s="108" t="s">
        <v>171</v>
      </c>
      <c r="J3" s="106" t="s">
        <v>66</v>
      </c>
      <c r="K3" s="106" t="s">
        <v>125</v>
      </c>
      <c r="L3" s="106" t="s">
        <v>162</v>
      </c>
      <c r="M3" s="106" t="s">
        <v>68</v>
      </c>
      <c r="N3" s="107" t="s">
        <v>172</v>
      </c>
      <c r="O3" s="107" t="s">
        <v>69</v>
      </c>
      <c r="P3" s="107" t="s">
        <v>70</v>
      </c>
      <c r="Q3" s="107" t="s">
        <v>128</v>
      </c>
      <c r="R3" s="107" t="s">
        <v>124</v>
      </c>
      <c r="S3" s="107" t="s">
        <v>8</v>
      </c>
      <c r="T3" s="48" t="s">
        <v>158</v>
      </c>
      <c r="U3" s="48" t="s">
        <v>159</v>
      </c>
      <c r="V3" s="48" t="s">
        <v>160</v>
      </c>
      <c r="W3" s="48" t="s">
        <v>161</v>
      </c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</row>
    <row r="4" spans="1:34" s="13" customFormat="1" ht="18" customHeight="1" thickTop="1">
      <c r="A4" s="109">
        <v>1</v>
      </c>
      <c r="B4" s="110" t="s">
        <v>129</v>
      </c>
      <c r="C4" s="111">
        <v>150</v>
      </c>
      <c r="D4" s="112" t="s">
        <v>9</v>
      </c>
      <c r="E4" s="111">
        <v>2</v>
      </c>
      <c r="F4" s="111">
        <v>25</v>
      </c>
      <c r="G4" s="111">
        <v>1.3</v>
      </c>
      <c r="H4" s="111">
        <f t="shared" ref="H4:H32" si="0">G4*E4</f>
        <v>2.6</v>
      </c>
      <c r="I4" s="114">
        <v>7.6068376068376062E-2</v>
      </c>
      <c r="J4" s="113">
        <f t="shared" ref="J4:J32" si="1">100*3/C4</f>
        <v>2</v>
      </c>
      <c r="K4" s="113">
        <f t="shared" ref="K4:K32" si="2">F4+J4*$I$2/3.6</f>
        <v>25.516666666666666</v>
      </c>
      <c r="L4" s="113">
        <f t="shared" ref="L4:L32" si="3">K4/J4*3.6</f>
        <v>45.93</v>
      </c>
      <c r="M4" s="113">
        <f t="shared" ref="M4:M32" si="4">K4/(1+(EXP(-L4*E4)-1)/L4/E4)</f>
        <v>25.79750165089148</v>
      </c>
      <c r="N4" s="114">
        <f t="shared" ref="N4:N32" si="5">M4-K4</f>
        <v>0.28083498422481412</v>
      </c>
      <c r="O4" s="114">
        <f t="shared" ref="O4:O32" si="6">N4/K4*100</f>
        <v>1.1005943209333018</v>
      </c>
      <c r="P4" s="114">
        <f t="shared" ref="P4:P32" si="7">$F$2*H4/M4</f>
        <v>1.0078495333326793E-2</v>
      </c>
      <c r="Q4" s="114">
        <f t="shared" ref="Q4:Q32" si="8">M4/K4</f>
        <v>1.011005943209333</v>
      </c>
      <c r="R4" s="114">
        <f>K4</f>
        <v>25.516666666666666</v>
      </c>
      <c r="S4" s="114">
        <f t="shared" ref="S4:S32" si="9">2*J4/3.6/E4</f>
        <v>0.55555555555555558</v>
      </c>
      <c r="T4" s="23">
        <f>0.1*E4*G4/0.02</f>
        <v>13</v>
      </c>
      <c r="U4" s="23">
        <f>(T4^1.25-S4^1.25)^(1/1.25)</f>
        <v>12.797528843341945</v>
      </c>
      <c r="V4" s="115">
        <v>2</v>
      </c>
      <c r="W4" s="23">
        <f>T4^1.25-(2*V4/3.6/E4)^1.25-(F4+$I$2*V4/3.6)^1.25</f>
        <v>-33.144395589922937</v>
      </c>
    </row>
    <row r="5" spans="1:34" s="13" customFormat="1" ht="18" customHeight="1">
      <c r="A5" s="109">
        <f>A4+1</f>
        <v>2</v>
      </c>
      <c r="B5" s="110" t="s">
        <v>130</v>
      </c>
      <c r="C5" s="111">
        <v>100</v>
      </c>
      <c r="D5" s="112" t="s">
        <v>21</v>
      </c>
      <c r="E5" s="111">
        <v>1</v>
      </c>
      <c r="F5" s="111">
        <v>30</v>
      </c>
      <c r="G5" s="111">
        <v>2</v>
      </c>
      <c r="H5" s="111">
        <f t="shared" si="0"/>
        <v>2</v>
      </c>
      <c r="I5" s="114">
        <v>0.45769230769230773</v>
      </c>
      <c r="J5" s="113">
        <f t="shared" si="1"/>
        <v>3</v>
      </c>
      <c r="K5" s="113">
        <f t="shared" si="2"/>
        <v>30.774999999999999</v>
      </c>
      <c r="L5" s="113">
        <f t="shared" si="3"/>
        <v>36.93</v>
      </c>
      <c r="M5" s="113">
        <f t="shared" si="4"/>
        <v>31.631526579460058</v>
      </c>
      <c r="N5" s="114">
        <f t="shared" si="5"/>
        <v>0.85652657946005917</v>
      </c>
      <c r="O5" s="114">
        <f t="shared" si="6"/>
        <v>2.7831895352073412</v>
      </c>
      <c r="P5" s="114">
        <f t="shared" si="7"/>
        <v>6.3228058088688668E-3</v>
      </c>
      <c r="Q5" s="114">
        <f t="shared" si="8"/>
        <v>1.0278318953520733</v>
      </c>
      <c r="R5" s="114">
        <f t="shared" ref="R5:R32" si="10">K5</f>
        <v>30.774999999999999</v>
      </c>
      <c r="S5" s="114">
        <f t="shared" si="9"/>
        <v>1.6666666666666665</v>
      </c>
      <c r="T5" s="23">
        <f t="shared" ref="T5:T32" si="11">0.1*E5*G5/0.02</f>
        <v>10</v>
      </c>
      <c r="U5" s="23">
        <f t="shared" ref="U5:U32" si="12">(T5^1.25-S5^1.25)^(1/1.25)</f>
        <v>9.1385929349055584</v>
      </c>
      <c r="V5" s="115">
        <v>2</v>
      </c>
      <c r="W5" s="23">
        <f>T5^1.25-(2*V5/3.6/E5)^1.25-(F5+$I$2*V5/3.6)^1.25</f>
        <v>-55.083106526215865</v>
      </c>
    </row>
    <row r="6" spans="1:34" s="13" customFormat="1" ht="18" customHeight="1">
      <c r="A6" s="109">
        <f t="shared" ref="A6:A32" si="13">A5+1</f>
        <v>3</v>
      </c>
      <c r="B6" s="110" t="s">
        <v>131</v>
      </c>
      <c r="C6" s="111">
        <v>60</v>
      </c>
      <c r="D6" s="112" t="s">
        <v>9</v>
      </c>
      <c r="E6" s="111">
        <v>4</v>
      </c>
      <c r="F6" s="111">
        <v>15</v>
      </c>
      <c r="G6" s="111">
        <v>1.5</v>
      </c>
      <c r="H6" s="111">
        <f t="shared" si="0"/>
        <v>6</v>
      </c>
      <c r="I6" s="114">
        <v>0.1</v>
      </c>
      <c r="J6" s="113">
        <f t="shared" si="1"/>
        <v>5</v>
      </c>
      <c r="K6" s="113">
        <f t="shared" si="2"/>
        <v>16.291666666666668</v>
      </c>
      <c r="L6" s="113">
        <f t="shared" si="3"/>
        <v>11.730000000000002</v>
      </c>
      <c r="M6" s="113">
        <f t="shared" si="4"/>
        <v>16.646450348432058</v>
      </c>
      <c r="N6" s="114">
        <f t="shared" si="5"/>
        <v>0.35478368176539021</v>
      </c>
      <c r="O6" s="114">
        <f t="shared" si="6"/>
        <v>2.1777003484320625</v>
      </c>
      <c r="P6" s="114">
        <f t="shared" si="7"/>
        <v>3.6043720279171382E-2</v>
      </c>
      <c r="Q6" s="114">
        <f t="shared" si="8"/>
        <v>1.0217770034843205</v>
      </c>
      <c r="R6" s="114">
        <f t="shared" si="10"/>
        <v>16.291666666666668</v>
      </c>
      <c r="S6" s="114">
        <f t="shared" si="9"/>
        <v>0.69444444444444442</v>
      </c>
      <c r="T6" s="23">
        <f t="shared" si="11"/>
        <v>30.000000000000004</v>
      </c>
      <c r="U6" s="23">
        <f t="shared" si="12"/>
        <v>29.783104804031343</v>
      </c>
      <c r="V6" s="36">
        <v>44.849456129806903</v>
      </c>
      <c r="W6" s="23">
        <f t="shared" ref="W6:W31" si="14">T6^1.25-(2*V6/3.6/E6)^1.25-(F6+$I$2*V6/3.6)^1.25</f>
        <v>-1.6772363395034517E-5</v>
      </c>
    </row>
    <row r="7" spans="1:34" s="13" customFormat="1" ht="18" customHeight="1">
      <c r="A7" s="109">
        <f t="shared" si="13"/>
        <v>4</v>
      </c>
      <c r="B7" s="110" t="s">
        <v>132</v>
      </c>
      <c r="C7" s="111">
        <v>150</v>
      </c>
      <c r="D7" s="112" t="s">
        <v>9</v>
      </c>
      <c r="E7" s="111">
        <v>4</v>
      </c>
      <c r="F7" s="111">
        <v>30</v>
      </c>
      <c r="G7" s="111">
        <v>1.3</v>
      </c>
      <c r="H7" s="111">
        <f t="shared" si="0"/>
        <v>5.2</v>
      </c>
      <c r="I7" s="114">
        <v>8.8333333333333333E-2</v>
      </c>
      <c r="J7" s="113">
        <f t="shared" si="1"/>
        <v>2</v>
      </c>
      <c r="K7" s="113">
        <f t="shared" si="2"/>
        <v>30.516666666666666</v>
      </c>
      <c r="L7" s="113">
        <f t="shared" si="3"/>
        <v>54.93</v>
      </c>
      <c r="M7" s="113">
        <f t="shared" si="4"/>
        <v>30.656190563277249</v>
      </c>
      <c r="N7" s="114">
        <f t="shared" si="5"/>
        <v>0.13952389661058362</v>
      </c>
      <c r="O7" s="114">
        <f t="shared" si="6"/>
        <v>0.45720555961960774</v>
      </c>
      <c r="P7" s="114">
        <f t="shared" si="7"/>
        <v>1.6962316271053681E-2</v>
      </c>
      <c r="Q7" s="114">
        <f t="shared" si="8"/>
        <v>1.0045720555961961</v>
      </c>
      <c r="R7" s="114">
        <f t="shared" si="10"/>
        <v>30.516666666666666</v>
      </c>
      <c r="S7" s="114">
        <f t="shared" si="9"/>
        <v>0.27777777777777779</v>
      </c>
      <c r="T7" s="23">
        <f t="shared" si="11"/>
        <v>26</v>
      </c>
      <c r="U7" s="23">
        <f t="shared" si="12"/>
        <v>25.928530971861505</v>
      </c>
      <c r="V7" s="115">
        <v>2</v>
      </c>
      <c r="W7" s="23">
        <f t="shared" si="14"/>
        <v>-13.216172360308484</v>
      </c>
    </row>
    <row r="8" spans="1:34" s="13" customFormat="1" ht="18" customHeight="1">
      <c r="A8" s="109">
        <f t="shared" si="13"/>
        <v>5</v>
      </c>
      <c r="B8" s="110" t="s">
        <v>133</v>
      </c>
      <c r="C8" s="111">
        <v>25</v>
      </c>
      <c r="D8" s="112" t="s">
        <v>56</v>
      </c>
      <c r="E8" s="111">
        <v>8</v>
      </c>
      <c r="F8" s="111">
        <v>15</v>
      </c>
      <c r="G8" s="111">
        <v>1</v>
      </c>
      <c r="H8" s="111">
        <f t="shared" si="0"/>
        <v>8</v>
      </c>
      <c r="I8" s="114">
        <v>7.9401709401709403E-2</v>
      </c>
      <c r="J8" s="113">
        <f t="shared" si="1"/>
        <v>12</v>
      </c>
      <c r="K8" s="113">
        <f t="shared" si="2"/>
        <v>18.100000000000001</v>
      </c>
      <c r="L8" s="113">
        <f t="shared" si="3"/>
        <v>5.4300000000000006</v>
      </c>
      <c r="M8" s="113">
        <f t="shared" si="4"/>
        <v>18.526484448633365</v>
      </c>
      <c r="N8" s="114">
        <f t="shared" si="5"/>
        <v>0.42648444863336366</v>
      </c>
      <c r="O8" s="114">
        <f t="shared" si="6"/>
        <v>2.356267672007534</v>
      </c>
      <c r="P8" s="114">
        <f t="shared" si="7"/>
        <v>4.3181425068424859E-2</v>
      </c>
      <c r="Q8" s="114">
        <f t="shared" si="8"/>
        <v>1.0235626767200754</v>
      </c>
      <c r="R8" s="114">
        <f t="shared" si="10"/>
        <v>18.100000000000001</v>
      </c>
      <c r="S8" s="114">
        <f t="shared" si="9"/>
        <v>0.83333333333333326</v>
      </c>
      <c r="T8" s="23">
        <f t="shared" si="11"/>
        <v>40</v>
      </c>
      <c r="U8" s="23">
        <f t="shared" si="12"/>
        <v>39.746520331814942</v>
      </c>
      <c r="V8" s="36">
        <v>85.287994595197901</v>
      </c>
      <c r="W8" s="23">
        <f t="shared" si="14"/>
        <v>2.5811104094941584E-5</v>
      </c>
    </row>
    <row r="9" spans="1:34" s="13" customFormat="1" ht="18" customHeight="1">
      <c r="A9" s="109">
        <f t="shared" si="13"/>
        <v>6</v>
      </c>
      <c r="B9" s="110" t="s">
        <v>134</v>
      </c>
      <c r="C9" s="111">
        <v>30</v>
      </c>
      <c r="D9" s="112" t="s">
        <v>9</v>
      </c>
      <c r="E9" s="111">
        <v>4</v>
      </c>
      <c r="F9" s="111">
        <v>20</v>
      </c>
      <c r="G9" s="111">
        <v>1.3</v>
      </c>
      <c r="H9" s="111">
        <f t="shared" si="0"/>
        <v>5.2</v>
      </c>
      <c r="I9" s="114">
        <v>7.8333333333333324E-2</v>
      </c>
      <c r="J9" s="113">
        <f t="shared" si="1"/>
        <v>10</v>
      </c>
      <c r="K9" s="113">
        <f t="shared" si="2"/>
        <v>22.583333333333332</v>
      </c>
      <c r="L9" s="113">
        <f t="shared" si="3"/>
        <v>8.1300000000000008</v>
      </c>
      <c r="M9" s="113">
        <f t="shared" si="4"/>
        <v>23.299809644670045</v>
      </c>
      <c r="N9" s="114">
        <f t="shared" si="5"/>
        <v>0.71647631133671297</v>
      </c>
      <c r="O9" s="114">
        <f t="shared" si="6"/>
        <v>3.17258883248729</v>
      </c>
      <c r="P9" s="114">
        <f t="shared" si="7"/>
        <v>2.2317778897346176E-2</v>
      </c>
      <c r="Q9" s="114">
        <f t="shared" si="8"/>
        <v>1.031725888324873</v>
      </c>
      <c r="R9" s="114">
        <f t="shared" si="10"/>
        <v>22.583333333333332</v>
      </c>
      <c r="S9" s="114">
        <f t="shared" si="9"/>
        <v>1.3888888888888888</v>
      </c>
      <c r="T9" s="23">
        <f t="shared" si="11"/>
        <v>26</v>
      </c>
      <c r="U9" s="23">
        <f t="shared" si="12"/>
        <v>25.464441991357649</v>
      </c>
      <c r="V9" s="36">
        <v>18.68324157281441</v>
      </c>
      <c r="W9" s="23">
        <f t="shared" si="14"/>
        <v>-1.8286253506971661E-6</v>
      </c>
    </row>
    <row r="10" spans="1:34" s="13" customFormat="1" ht="18" customHeight="1">
      <c r="A10" s="109">
        <f t="shared" si="13"/>
        <v>7</v>
      </c>
      <c r="B10" s="110" t="s">
        <v>135</v>
      </c>
      <c r="C10" s="111">
        <v>25</v>
      </c>
      <c r="D10" s="112" t="s">
        <v>11</v>
      </c>
      <c r="E10" s="111">
        <v>4</v>
      </c>
      <c r="F10" s="111">
        <v>20</v>
      </c>
      <c r="G10" s="111">
        <v>1.8</v>
      </c>
      <c r="H10" s="111">
        <f t="shared" si="0"/>
        <v>7.2</v>
      </c>
      <c r="I10" s="114">
        <v>0.32083333333333341</v>
      </c>
      <c r="J10" s="113">
        <f t="shared" si="1"/>
        <v>12</v>
      </c>
      <c r="K10" s="113">
        <f t="shared" si="2"/>
        <v>23.1</v>
      </c>
      <c r="L10" s="113">
        <f t="shared" si="3"/>
        <v>6.9300000000000006</v>
      </c>
      <c r="M10" s="113">
        <f t="shared" si="4"/>
        <v>23.964520958083014</v>
      </c>
      <c r="N10" s="114">
        <f t="shared" si="5"/>
        <v>0.86452095808301266</v>
      </c>
      <c r="O10" s="114">
        <f t="shared" si="6"/>
        <v>3.7425149700563312</v>
      </c>
      <c r="P10" s="114">
        <f t="shared" si="7"/>
        <v>3.0044414459999905E-2</v>
      </c>
      <c r="Q10" s="114">
        <f t="shared" si="8"/>
        <v>1.0374251497005633</v>
      </c>
      <c r="R10" s="114">
        <f t="shared" si="10"/>
        <v>23.1</v>
      </c>
      <c r="S10" s="114">
        <f t="shared" si="9"/>
        <v>1.6666666666666665</v>
      </c>
      <c r="T10" s="23">
        <f t="shared" si="11"/>
        <v>36</v>
      </c>
      <c r="U10" s="23">
        <f t="shared" si="12"/>
        <v>35.38018078541765</v>
      </c>
      <c r="V10" s="36">
        <v>48.160955624991153</v>
      </c>
      <c r="W10" s="23">
        <f t="shared" si="14"/>
        <v>-6.4013661500439412E-6</v>
      </c>
    </row>
    <row r="11" spans="1:34" s="13" customFormat="1" ht="18" customHeight="1">
      <c r="A11" s="109">
        <f t="shared" si="13"/>
        <v>8</v>
      </c>
      <c r="B11" s="110" t="s">
        <v>136</v>
      </c>
      <c r="C11" s="111">
        <v>25</v>
      </c>
      <c r="D11" s="112" t="s">
        <v>9</v>
      </c>
      <c r="E11" s="111">
        <v>4</v>
      </c>
      <c r="F11" s="111">
        <v>20</v>
      </c>
      <c r="G11" s="111">
        <v>1.3</v>
      </c>
      <c r="H11" s="111">
        <f t="shared" si="0"/>
        <v>5.2</v>
      </c>
      <c r="I11" s="114">
        <v>7.8333333333333324E-2</v>
      </c>
      <c r="J11" s="113">
        <f t="shared" si="1"/>
        <v>12</v>
      </c>
      <c r="K11" s="113">
        <f t="shared" si="2"/>
        <v>23.1</v>
      </c>
      <c r="L11" s="113">
        <f t="shared" si="3"/>
        <v>6.9300000000000006</v>
      </c>
      <c r="M11" s="113">
        <f t="shared" si="4"/>
        <v>23.964520958083014</v>
      </c>
      <c r="N11" s="114">
        <f t="shared" si="5"/>
        <v>0.86452095808301266</v>
      </c>
      <c r="O11" s="114">
        <f t="shared" si="6"/>
        <v>3.7425149700563312</v>
      </c>
      <c r="P11" s="114">
        <f t="shared" si="7"/>
        <v>2.1698743776666595E-2</v>
      </c>
      <c r="Q11" s="114">
        <f t="shared" si="8"/>
        <v>1.0374251497005633</v>
      </c>
      <c r="R11" s="114">
        <f t="shared" si="10"/>
        <v>23.1</v>
      </c>
      <c r="S11" s="114">
        <f t="shared" si="9"/>
        <v>1.6666666666666665</v>
      </c>
      <c r="T11" s="23">
        <f t="shared" si="11"/>
        <v>26</v>
      </c>
      <c r="U11" s="23">
        <f t="shared" si="12"/>
        <v>25.32690791830111</v>
      </c>
      <c r="V11" s="36">
        <v>18.683240501621469</v>
      </c>
      <c r="W11" s="23">
        <f t="shared" si="14"/>
        <v>-8.2046705784932783E-7</v>
      </c>
    </row>
    <row r="12" spans="1:34" s="13" customFormat="1" ht="18" customHeight="1">
      <c r="A12" s="109">
        <f t="shared" si="13"/>
        <v>9</v>
      </c>
      <c r="B12" s="110" t="s">
        <v>137</v>
      </c>
      <c r="C12" s="111">
        <v>7</v>
      </c>
      <c r="D12" s="112" t="s">
        <v>27</v>
      </c>
      <c r="E12" s="111">
        <v>1</v>
      </c>
      <c r="F12" s="111">
        <v>40</v>
      </c>
      <c r="G12" s="111">
        <v>7</v>
      </c>
      <c r="H12" s="111">
        <f t="shared" si="0"/>
        <v>7</v>
      </c>
      <c r="I12" s="114">
        <v>0.84914529914529913</v>
      </c>
      <c r="J12" s="113">
        <f t="shared" si="1"/>
        <v>42.857142857142854</v>
      </c>
      <c r="K12" s="113">
        <f t="shared" si="2"/>
        <v>51.071428571428569</v>
      </c>
      <c r="L12" s="113">
        <f t="shared" si="3"/>
        <v>4.29</v>
      </c>
      <c r="M12" s="113">
        <f t="shared" si="4"/>
        <v>66.318401166444303</v>
      </c>
      <c r="N12" s="114">
        <f t="shared" si="5"/>
        <v>15.246972595015734</v>
      </c>
      <c r="O12" s="114">
        <f t="shared" si="6"/>
        <v>29.854212074156685</v>
      </c>
      <c r="P12" s="114">
        <f t="shared" si="7"/>
        <v>1.055513986598014E-2</v>
      </c>
      <c r="Q12" s="114">
        <f t="shared" si="8"/>
        <v>1.2985421207415668</v>
      </c>
      <c r="R12" s="114">
        <f t="shared" si="10"/>
        <v>51.071428571428569</v>
      </c>
      <c r="S12" s="114">
        <f t="shared" si="9"/>
        <v>23.809523809523807</v>
      </c>
      <c r="T12" s="23">
        <f t="shared" si="11"/>
        <v>35</v>
      </c>
      <c r="U12" s="23">
        <f t="shared" si="12"/>
        <v>16.214127050609566</v>
      </c>
      <c r="V12" s="115">
        <v>2</v>
      </c>
      <c r="W12" s="23">
        <f t="shared" si="14"/>
        <v>-18.23176518750094</v>
      </c>
    </row>
    <row r="13" spans="1:34" s="13" customFormat="1" ht="18" customHeight="1">
      <c r="A13" s="109">
        <f t="shared" si="13"/>
        <v>10</v>
      </c>
      <c r="B13" s="110" t="s">
        <v>138</v>
      </c>
      <c r="C13" s="111">
        <v>20</v>
      </c>
      <c r="D13" s="112" t="s">
        <v>9</v>
      </c>
      <c r="E13" s="111">
        <v>1</v>
      </c>
      <c r="F13" s="111">
        <v>20</v>
      </c>
      <c r="G13" s="111">
        <v>1.3</v>
      </c>
      <c r="H13" s="111">
        <f t="shared" si="0"/>
        <v>1.3</v>
      </c>
      <c r="I13" s="114">
        <v>0.1</v>
      </c>
      <c r="J13" s="113">
        <f t="shared" si="1"/>
        <v>15</v>
      </c>
      <c r="K13" s="113">
        <f t="shared" si="2"/>
        <v>23.875</v>
      </c>
      <c r="L13" s="113">
        <f t="shared" si="3"/>
        <v>5.7299999999999995</v>
      </c>
      <c r="M13" s="113">
        <f t="shared" si="4"/>
        <v>28.902727402085294</v>
      </c>
      <c r="N13" s="114">
        <f t="shared" si="5"/>
        <v>5.0277274020852936</v>
      </c>
      <c r="O13" s="114">
        <f t="shared" si="6"/>
        <v>21.058544092503848</v>
      </c>
      <c r="P13" s="114">
        <f t="shared" si="7"/>
        <v>4.4978454175442512E-3</v>
      </c>
      <c r="Q13" s="114">
        <f t="shared" si="8"/>
        <v>1.2105854409250385</v>
      </c>
      <c r="R13" s="114">
        <f t="shared" si="10"/>
        <v>23.875</v>
      </c>
      <c r="S13" s="114">
        <f t="shared" si="9"/>
        <v>8.3333333333333339</v>
      </c>
      <c r="T13" s="23">
        <f t="shared" si="11"/>
        <v>6.5</v>
      </c>
      <c r="U13" s="116">
        <v>1</v>
      </c>
      <c r="V13" s="115">
        <v>2</v>
      </c>
      <c r="W13" s="23">
        <f t="shared" si="14"/>
        <v>-34.427100843799423</v>
      </c>
    </row>
    <row r="14" spans="1:34" s="13" customFormat="1" ht="18" customHeight="1">
      <c r="A14" s="109">
        <f t="shared" si="13"/>
        <v>11</v>
      </c>
      <c r="B14" s="110" t="s">
        <v>139</v>
      </c>
      <c r="C14" s="111">
        <v>20</v>
      </c>
      <c r="D14" s="112" t="s">
        <v>9</v>
      </c>
      <c r="E14" s="111">
        <v>1</v>
      </c>
      <c r="F14" s="111">
        <v>35</v>
      </c>
      <c r="G14" s="111">
        <v>1.3</v>
      </c>
      <c r="H14" s="111">
        <f t="shared" si="0"/>
        <v>1.3</v>
      </c>
      <c r="I14" s="114">
        <v>0.1</v>
      </c>
      <c r="J14" s="113">
        <f t="shared" si="1"/>
        <v>15</v>
      </c>
      <c r="K14" s="113">
        <f t="shared" si="2"/>
        <v>38.875</v>
      </c>
      <c r="L14" s="113">
        <f t="shared" si="3"/>
        <v>9.33</v>
      </c>
      <c r="M14" s="113">
        <f t="shared" si="4"/>
        <v>43.541402990314573</v>
      </c>
      <c r="N14" s="114">
        <f t="shared" si="5"/>
        <v>4.6664029903145732</v>
      </c>
      <c r="O14" s="114">
        <f t="shared" si="6"/>
        <v>12.003608978301154</v>
      </c>
      <c r="P14" s="114">
        <f t="shared" si="7"/>
        <v>2.9856640133740621E-3</v>
      </c>
      <c r="Q14" s="114">
        <f t="shared" si="8"/>
        <v>1.1200360897830115</v>
      </c>
      <c r="R14" s="114">
        <f t="shared" si="10"/>
        <v>38.875</v>
      </c>
      <c r="S14" s="114">
        <f t="shared" si="9"/>
        <v>8.3333333333333339</v>
      </c>
      <c r="T14" s="23">
        <f t="shared" si="11"/>
        <v>6.5</v>
      </c>
      <c r="U14" s="116">
        <v>1</v>
      </c>
      <c r="V14" s="115">
        <v>1.9999999999999996</v>
      </c>
      <c r="W14" s="23">
        <f t="shared" si="14"/>
        <v>-77.466319655212416</v>
      </c>
    </row>
    <row r="15" spans="1:34" s="13" customFormat="1" ht="18" customHeight="1">
      <c r="A15" s="109">
        <f t="shared" si="13"/>
        <v>12</v>
      </c>
      <c r="B15" s="110" t="s">
        <v>140</v>
      </c>
      <c r="C15" s="111">
        <v>20</v>
      </c>
      <c r="D15" s="112" t="s">
        <v>56</v>
      </c>
      <c r="E15" s="111">
        <v>8</v>
      </c>
      <c r="F15" s="111">
        <v>35</v>
      </c>
      <c r="G15" s="111">
        <v>1</v>
      </c>
      <c r="H15" s="111">
        <f t="shared" si="0"/>
        <v>8</v>
      </c>
      <c r="I15" s="114">
        <v>7.5999999999999998E-2</v>
      </c>
      <c r="J15" s="113">
        <f t="shared" si="1"/>
        <v>15</v>
      </c>
      <c r="K15" s="113">
        <f t="shared" si="2"/>
        <v>38.875</v>
      </c>
      <c r="L15" s="113">
        <f t="shared" si="3"/>
        <v>9.33</v>
      </c>
      <c r="M15" s="113">
        <f t="shared" si="4"/>
        <v>39.402906029331888</v>
      </c>
      <c r="N15" s="114">
        <f t="shared" si="5"/>
        <v>0.52790602933188779</v>
      </c>
      <c r="O15" s="114">
        <f t="shared" si="6"/>
        <v>1.3579576317218978</v>
      </c>
      <c r="P15" s="114">
        <f t="shared" si="7"/>
        <v>2.0303071032488636E-2</v>
      </c>
      <c r="Q15" s="114">
        <f t="shared" si="8"/>
        <v>1.0135795763172191</v>
      </c>
      <c r="R15" s="114">
        <f t="shared" si="10"/>
        <v>38.875</v>
      </c>
      <c r="S15" s="114">
        <f t="shared" si="9"/>
        <v>1.0416666666666667</v>
      </c>
      <c r="T15" s="23">
        <f t="shared" si="11"/>
        <v>40</v>
      </c>
      <c r="U15" s="23">
        <f t="shared" si="12"/>
        <v>39.664886480187697</v>
      </c>
      <c r="V15" s="36">
        <v>17.753080386062198</v>
      </c>
      <c r="W15" s="23">
        <f t="shared" si="14"/>
        <v>2.8023265485899174E-8</v>
      </c>
    </row>
    <row r="16" spans="1:34" s="13" customFormat="1" ht="18" customHeight="1">
      <c r="A16" s="109">
        <f t="shared" si="13"/>
        <v>13</v>
      </c>
      <c r="B16" s="110" t="s">
        <v>141</v>
      </c>
      <c r="C16" s="111">
        <v>20</v>
      </c>
      <c r="D16" s="112" t="s">
        <v>56</v>
      </c>
      <c r="E16" s="111">
        <v>8</v>
      </c>
      <c r="F16" s="111">
        <v>25</v>
      </c>
      <c r="G16" s="111">
        <v>1</v>
      </c>
      <c r="H16" s="111">
        <f t="shared" si="0"/>
        <v>8</v>
      </c>
      <c r="I16" s="114">
        <v>7.5999999999999998E-2</v>
      </c>
      <c r="J16" s="113">
        <f t="shared" si="1"/>
        <v>15</v>
      </c>
      <c r="K16" s="113">
        <f t="shared" si="2"/>
        <v>28.875</v>
      </c>
      <c r="L16" s="113">
        <f t="shared" si="3"/>
        <v>6.9300000000000006</v>
      </c>
      <c r="M16" s="113">
        <f t="shared" si="4"/>
        <v>29.405400440852315</v>
      </c>
      <c r="N16" s="114">
        <f t="shared" si="5"/>
        <v>0.53040044085231486</v>
      </c>
      <c r="O16" s="114">
        <f t="shared" si="6"/>
        <v>1.8368846436443806</v>
      </c>
      <c r="P16" s="114">
        <f t="shared" si="7"/>
        <v>2.7205886946146687E-2</v>
      </c>
      <c r="Q16" s="114">
        <f t="shared" si="8"/>
        <v>1.0183688464364438</v>
      </c>
      <c r="R16" s="114">
        <f t="shared" si="10"/>
        <v>28.875</v>
      </c>
      <c r="S16" s="114">
        <f t="shared" si="9"/>
        <v>1.0416666666666667</v>
      </c>
      <c r="T16" s="23">
        <f t="shared" si="11"/>
        <v>40</v>
      </c>
      <c r="U16" s="23">
        <f t="shared" si="12"/>
        <v>39.664886480187697</v>
      </c>
      <c r="V16" s="36">
        <v>51.916222676979217</v>
      </c>
      <c r="W16" s="23">
        <f t="shared" si="14"/>
        <v>1.6497821988536998E-5</v>
      </c>
    </row>
    <row r="17" spans="1:24" s="13" customFormat="1" ht="18" customHeight="1">
      <c r="A17" s="109">
        <f t="shared" si="13"/>
        <v>14</v>
      </c>
      <c r="B17" s="110" t="s">
        <v>142</v>
      </c>
      <c r="C17" s="111">
        <v>50</v>
      </c>
      <c r="D17" s="112" t="s">
        <v>9</v>
      </c>
      <c r="E17" s="111">
        <v>2</v>
      </c>
      <c r="F17" s="111">
        <v>45</v>
      </c>
      <c r="G17" s="111">
        <v>1.3</v>
      </c>
      <c r="H17" s="111">
        <f t="shared" si="0"/>
        <v>2.6</v>
      </c>
      <c r="I17" s="114">
        <v>0.1</v>
      </c>
      <c r="J17" s="113">
        <f t="shared" si="1"/>
        <v>6</v>
      </c>
      <c r="K17" s="113">
        <f t="shared" si="2"/>
        <v>46.55</v>
      </c>
      <c r="L17" s="113">
        <f t="shared" si="3"/>
        <v>27.93</v>
      </c>
      <c r="M17" s="113">
        <f t="shared" si="4"/>
        <v>47.398523514400289</v>
      </c>
      <c r="N17" s="114">
        <f t="shared" si="5"/>
        <v>0.84852351440029139</v>
      </c>
      <c r="O17" s="114">
        <f t="shared" si="6"/>
        <v>1.8228217280349976</v>
      </c>
      <c r="P17" s="114">
        <f t="shared" si="7"/>
        <v>5.4854029349882304E-3</v>
      </c>
      <c r="Q17" s="114">
        <f t="shared" si="8"/>
        <v>1.0182282172803501</v>
      </c>
      <c r="R17" s="114">
        <f t="shared" si="10"/>
        <v>46.55</v>
      </c>
      <c r="S17" s="114">
        <f t="shared" si="9"/>
        <v>1.6666666666666665</v>
      </c>
      <c r="T17" s="23">
        <f t="shared" si="11"/>
        <v>13</v>
      </c>
      <c r="U17" s="23">
        <f t="shared" si="12"/>
        <v>12.195844528398833</v>
      </c>
      <c r="V17" s="115">
        <v>2</v>
      </c>
      <c r="W17" s="23">
        <f t="shared" si="14"/>
        <v>-94.020875342530346</v>
      </c>
    </row>
    <row r="18" spans="1:24" s="13" customFormat="1" ht="18" customHeight="1">
      <c r="A18" s="109">
        <f t="shared" si="13"/>
        <v>15</v>
      </c>
      <c r="B18" s="110" t="s">
        <v>143</v>
      </c>
      <c r="C18" s="111">
        <v>35</v>
      </c>
      <c r="D18" s="112" t="s">
        <v>9</v>
      </c>
      <c r="E18" s="111">
        <v>4</v>
      </c>
      <c r="F18" s="111">
        <v>20</v>
      </c>
      <c r="G18" s="111">
        <v>1.3</v>
      </c>
      <c r="H18" s="111">
        <f t="shared" si="0"/>
        <v>5.2</v>
      </c>
      <c r="I18" s="114">
        <v>0.1</v>
      </c>
      <c r="J18" s="113">
        <f t="shared" si="1"/>
        <v>8.5714285714285712</v>
      </c>
      <c r="K18" s="113">
        <f t="shared" si="2"/>
        <v>22.214285714285715</v>
      </c>
      <c r="L18" s="113">
        <f t="shared" si="3"/>
        <v>9.33</v>
      </c>
      <c r="M18" s="113">
        <f t="shared" si="4"/>
        <v>22.825912523599751</v>
      </c>
      <c r="N18" s="114">
        <f t="shared" si="5"/>
        <v>0.61162680931403557</v>
      </c>
      <c r="O18" s="114">
        <f t="shared" si="6"/>
        <v>2.7533039647577162</v>
      </c>
      <c r="P18" s="114">
        <f t="shared" si="7"/>
        <v>2.2781126470294281E-2</v>
      </c>
      <c r="Q18" s="114">
        <f t="shared" si="8"/>
        <v>1.0275330396475773</v>
      </c>
      <c r="R18" s="114">
        <f t="shared" si="10"/>
        <v>22.214285714285715</v>
      </c>
      <c r="S18" s="114">
        <f t="shared" si="9"/>
        <v>1.1904761904761905</v>
      </c>
      <c r="T18" s="23">
        <f t="shared" si="11"/>
        <v>26</v>
      </c>
      <c r="U18" s="23">
        <f t="shared" si="12"/>
        <v>25.558506523043278</v>
      </c>
      <c r="V18" s="115">
        <v>2</v>
      </c>
      <c r="W18" s="23">
        <f t="shared" si="14"/>
        <v>14.843957602879286</v>
      </c>
    </row>
    <row r="19" spans="1:24" s="13" customFormat="1" ht="18" customHeight="1">
      <c r="A19" s="109">
        <f t="shared" si="13"/>
        <v>16</v>
      </c>
      <c r="B19" s="110" t="s">
        <v>144</v>
      </c>
      <c r="C19" s="111">
        <v>150</v>
      </c>
      <c r="D19" s="112" t="s">
        <v>9</v>
      </c>
      <c r="E19" s="111">
        <v>1</v>
      </c>
      <c r="F19" s="111">
        <v>25</v>
      </c>
      <c r="G19" s="111">
        <v>1.3</v>
      </c>
      <c r="H19" s="111">
        <f t="shared" si="0"/>
        <v>1.3</v>
      </c>
      <c r="I19" s="114">
        <v>8.8333333333333333E-2</v>
      </c>
      <c r="J19" s="113">
        <f t="shared" si="1"/>
        <v>2</v>
      </c>
      <c r="K19" s="113">
        <f t="shared" si="2"/>
        <v>25.516666666666666</v>
      </c>
      <c r="L19" s="113">
        <f t="shared" si="3"/>
        <v>45.93</v>
      </c>
      <c r="M19" s="113">
        <f t="shared" si="4"/>
        <v>26.084587135544179</v>
      </c>
      <c r="N19" s="114">
        <f t="shared" si="5"/>
        <v>0.56792046887751368</v>
      </c>
      <c r="O19" s="114">
        <f t="shared" si="6"/>
        <v>2.2256843979523726</v>
      </c>
      <c r="P19" s="114">
        <f t="shared" si="7"/>
        <v>4.9837859930263349E-3</v>
      </c>
      <c r="Q19" s="114">
        <f t="shared" si="8"/>
        <v>1.0222568439795237</v>
      </c>
      <c r="R19" s="114">
        <f t="shared" si="10"/>
        <v>25.516666666666666</v>
      </c>
      <c r="S19" s="114">
        <f t="shared" si="9"/>
        <v>1.1111111111111112</v>
      </c>
      <c r="T19" s="23">
        <f t="shared" si="11"/>
        <v>6.5</v>
      </c>
      <c r="U19" s="23">
        <f t="shared" si="12"/>
        <v>5.921867963358582</v>
      </c>
      <c r="V19" s="115">
        <v>2</v>
      </c>
      <c r="W19" s="23">
        <f t="shared" si="14"/>
        <v>-48.111635186029076</v>
      </c>
    </row>
    <row r="20" spans="1:24" s="13" customFormat="1" ht="18" customHeight="1">
      <c r="A20" s="109">
        <f t="shared" si="13"/>
        <v>17</v>
      </c>
      <c r="B20" s="110" t="s">
        <v>145</v>
      </c>
      <c r="C20" s="111">
        <v>150</v>
      </c>
      <c r="D20" s="112" t="s">
        <v>9</v>
      </c>
      <c r="E20" s="111">
        <v>0.5</v>
      </c>
      <c r="F20" s="111">
        <v>25</v>
      </c>
      <c r="G20" s="111">
        <v>1.5</v>
      </c>
      <c r="H20" s="111">
        <f t="shared" si="0"/>
        <v>0.75</v>
      </c>
      <c r="I20" s="114">
        <v>7.6068376068376062E-2</v>
      </c>
      <c r="J20" s="113">
        <f t="shared" si="1"/>
        <v>2</v>
      </c>
      <c r="K20" s="113">
        <f t="shared" si="2"/>
        <v>25.516666666666666</v>
      </c>
      <c r="L20" s="113">
        <f t="shared" si="3"/>
        <v>45.93</v>
      </c>
      <c r="M20" s="113">
        <f t="shared" si="4"/>
        <v>26.678363305129285</v>
      </c>
      <c r="N20" s="114">
        <f t="shared" si="5"/>
        <v>1.1616966384626188</v>
      </c>
      <c r="O20" s="114">
        <f t="shared" si="6"/>
        <v>4.5526974727470364</v>
      </c>
      <c r="P20" s="114">
        <f t="shared" si="7"/>
        <v>2.8112669110244939E-3</v>
      </c>
      <c r="Q20" s="114">
        <f t="shared" si="8"/>
        <v>1.0455269747274705</v>
      </c>
      <c r="R20" s="114">
        <f t="shared" si="10"/>
        <v>25.516666666666666</v>
      </c>
      <c r="S20" s="114">
        <f t="shared" si="9"/>
        <v>2.2222222222222223</v>
      </c>
      <c r="T20" s="23">
        <f t="shared" si="11"/>
        <v>3.7500000000000004</v>
      </c>
      <c r="U20" s="23">
        <f t="shared" si="12"/>
        <v>2.0848488690847597</v>
      </c>
      <c r="V20" s="115">
        <v>2</v>
      </c>
      <c r="W20" s="23">
        <f t="shared" si="14"/>
        <v>-54.844333502286823</v>
      </c>
    </row>
    <row r="21" spans="1:24" s="13" customFormat="1" ht="18" customHeight="1">
      <c r="A21" s="109">
        <f t="shared" si="13"/>
        <v>18</v>
      </c>
      <c r="B21" s="110" t="s">
        <v>146</v>
      </c>
      <c r="C21" s="111">
        <v>7</v>
      </c>
      <c r="D21" s="112" t="s">
        <v>21</v>
      </c>
      <c r="E21" s="111">
        <v>4</v>
      </c>
      <c r="F21" s="111">
        <v>25</v>
      </c>
      <c r="G21" s="111">
        <v>3</v>
      </c>
      <c r="H21" s="111">
        <f t="shared" si="0"/>
        <v>12</v>
      </c>
      <c r="I21" s="114">
        <v>0.44122807017543858</v>
      </c>
      <c r="J21" s="113">
        <f t="shared" si="1"/>
        <v>42.857142857142854</v>
      </c>
      <c r="K21" s="113">
        <f t="shared" si="2"/>
        <v>36.071428571428569</v>
      </c>
      <c r="L21" s="113">
        <f t="shared" si="3"/>
        <v>3.0300000000000002</v>
      </c>
      <c r="M21" s="113">
        <f t="shared" si="4"/>
        <v>39.315242809365898</v>
      </c>
      <c r="N21" s="114">
        <f t="shared" si="5"/>
        <v>3.2438142379373289</v>
      </c>
      <c r="O21" s="114">
        <f t="shared" si="6"/>
        <v>8.9927523427965568</v>
      </c>
      <c r="P21" s="114">
        <f t="shared" si="7"/>
        <v>3.0522512752080205E-2</v>
      </c>
      <c r="Q21" s="114">
        <f t="shared" si="8"/>
        <v>1.0899275234279655</v>
      </c>
      <c r="R21" s="114">
        <f t="shared" si="10"/>
        <v>36.071428571428569</v>
      </c>
      <c r="S21" s="114">
        <f t="shared" si="9"/>
        <v>5.9523809523809517</v>
      </c>
      <c r="T21" s="23">
        <f t="shared" si="11"/>
        <v>60.000000000000007</v>
      </c>
      <c r="U21" s="23">
        <f t="shared" si="12"/>
        <v>57.312291722863172</v>
      </c>
      <c r="V21" s="36">
        <v>103.7004038704757</v>
      </c>
      <c r="W21" s="23">
        <f t="shared" si="14"/>
        <v>6.5130562205695242E-5</v>
      </c>
    </row>
    <row r="22" spans="1:24" s="13" customFormat="1" ht="18" customHeight="1">
      <c r="A22" s="109">
        <f t="shared" si="13"/>
        <v>19</v>
      </c>
      <c r="B22" s="110" t="s">
        <v>147</v>
      </c>
      <c r="C22" s="111">
        <v>40</v>
      </c>
      <c r="D22" s="112" t="s">
        <v>11</v>
      </c>
      <c r="E22" s="111">
        <v>4</v>
      </c>
      <c r="F22" s="111">
        <v>30</v>
      </c>
      <c r="G22" s="111">
        <v>1.8</v>
      </c>
      <c r="H22" s="111">
        <f t="shared" si="0"/>
        <v>7.2</v>
      </c>
      <c r="I22" s="114">
        <v>0.20753968253968255</v>
      </c>
      <c r="J22" s="113">
        <f t="shared" si="1"/>
        <v>7.5</v>
      </c>
      <c r="K22" s="113">
        <f t="shared" si="2"/>
        <v>31.9375</v>
      </c>
      <c r="L22" s="113">
        <f t="shared" si="3"/>
        <v>15.330000000000002</v>
      </c>
      <c r="M22" s="113">
        <f t="shared" si="4"/>
        <v>32.46696783819629</v>
      </c>
      <c r="N22" s="114">
        <f t="shared" si="5"/>
        <v>0.52946783819628962</v>
      </c>
      <c r="O22" s="114">
        <f t="shared" si="6"/>
        <v>1.6578249336870126</v>
      </c>
      <c r="P22" s="114">
        <f t="shared" si="7"/>
        <v>2.2176385660287758E-2</v>
      </c>
      <c r="Q22" s="114">
        <f t="shared" si="8"/>
        <v>1.01657824933687</v>
      </c>
      <c r="R22" s="114">
        <f t="shared" si="10"/>
        <v>31.9375</v>
      </c>
      <c r="S22" s="114">
        <f t="shared" si="9"/>
        <v>1.0416666666666667</v>
      </c>
      <c r="T22" s="23">
        <f t="shared" si="11"/>
        <v>36</v>
      </c>
      <c r="U22" s="23">
        <f t="shared" si="12"/>
        <v>35.655891197589831</v>
      </c>
      <c r="V22" s="36">
        <v>18.966588609324258</v>
      </c>
      <c r="W22" s="23">
        <f t="shared" si="14"/>
        <v>-2.0183641851190259E-6</v>
      </c>
    </row>
    <row r="23" spans="1:24" s="13" customFormat="1" ht="18" customHeight="1">
      <c r="A23" s="109">
        <f t="shared" si="13"/>
        <v>20</v>
      </c>
      <c r="B23" s="110" t="s">
        <v>148</v>
      </c>
      <c r="C23" s="111">
        <v>5</v>
      </c>
      <c r="D23" s="112" t="s">
        <v>9</v>
      </c>
      <c r="E23" s="111">
        <v>4</v>
      </c>
      <c r="F23" s="111">
        <v>15</v>
      </c>
      <c r="G23" s="111">
        <v>1.5</v>
      </c>
      <c r="H23" s="111">
        <f t="shared" si="0"/>
        <v>6</v>
      </c>
      <c r="I23" s="114">
        <v>7.6068376068376062E-2</v>
      </c>
      <c r="J23" s="113">
        <f t="shared" si="1"/>
        <v>60</v>
      </c>
      <c r="K23" s="113">
        <f t="shared" si="2"/>
        <v>30.5</v>
      </c>
      <c r="L23" s="113">
        <f t="shared" si="3"/>
        <v>1.8299999999999998</v>
      </c>
      <c r="M23" s="113">
        <f t="shared" si="4"/>
        <v>35.322248566737983</v>
      </c>
      <c r="N23" s="114">
        <f t="shared" si="5"/>
        <v>4.8222485667379829</v>
      </c>
      <c r="O23" s="114">
        <f t="shared" si="6"/>
        <v>15.81065103848519</v>
      </c>
      <c r="P23" s="114">
        <f t="shared" si="7"/>
        <v>1.6986461064797672E-2</v>
      </c>
      <c r="Q23" s="114">
        <f t="shared" si="8"/>
        <v>1.1581065103848518</v>
      </c>
      <c r="R23" s="114">
        <f t="shared" si="10"/>
        <v>30.5</v>
      </c>
      <c r="S23" s="114">
        <f t="shared" si="9"/>
        <v>8.3333333333333339</v>
      </c>
      <c r="T23" s="23">
        <f t="shared" si="11"/>
        <v>30.000000000000004</v>
      </c>
      <c r="U23" s="23">
        <f t="shared" si="12"/>
        <v>25.053657719696034</v>
      </c>
      <c r="V23" s="36">
        <v>44.849435453850631</v>
      </c>
      <c r="W23" s="23">
        <f>T23^1.25-(2*V23/3.6/E23)^1.25-(F23+$I$2*V23/3.6)^1.25</f>
        <v>4.0592184689103306E-6</v>
      </c>
    </row>
    <row r="24" spans="1:24" s="13" customFormat="1" ht="18" customHeight="1">
      <c r="A24" s="109">
        <f t="shared" si="13"/>
        <v>21</v>
      </c>
      <c r="B24" s="110" t="s">
        <v>149</v>
      </c>
      <c r="C24" s="111">
        <v>120</v>
      </c>
      <c r="D24" s="112" t="s">
        <v>9</v>
      </c>
      <c r="E24" s="111">
        <v>2</v>
      </c>
      <c r="F24" s="111">
        <v>25</v>
      </c>
      <c r="G24" s="111">
        <v>1.3</v>
      </c>
      <c r="H24" s="111">
        <f t="shared" si="0"/>
        <v>2.6</v>
      </c>
      <c r="I24" s="114">
        <v>7.6068376068376062E-2</v>
      </c>
      <c r="J24" s="113">
        <f t="shared" si="1"/>
        <v>2.5</v>
      </c>
      <c r="K24" s="113">
        <f t="shared" si="2"/>
        <v>25.645833333333332</v>
      </c>
      <c r="L24" s="113">
        <f t="shared" si="3"/>
        <v>36.93</v>
      </c>
      <c r="M24" s="113">
        <f t="shared" si="4"/>
        <v>25.997821163875926</v>
      </c>
      <c r="N24" s="114">
        <f t="shared" si="5"/>
        <v>0.35198783054259408</v>
      </c>
      <c r="O24" s="114">
        <f t="shared" si="6"/>
        <v>1.372495196266817</v>
      </c>
      <c r="P24" s="114">
        <f t="shared" si="7"/>
        <v>1.0000838084126489E-2</v>
      </c>
      <c r="Q24" s="114">
        <f t="shared" si="8"/>
        <v>1.0137249519626681</v>
      </c>
      <c r="R24" s="114">
        <f t="shared" si="10"/>
        <v>25.645833333333332</v>
      </c>
      <c r="S24" s="114">
        <f t="shared" si="9"/>
        <v>0.69444444444444442</v>
      </c>
      <c r="T24" s="23">
        <f t="shared" si="11"/>
        <v>13</v>
      </c>
      <c r="U24" s="23">
        <f t="shared" si="12"/>
        <v>12.732220995678823</v>
      </c>
      <c r="V24" s="115">
        <v>2</v>
      </c>
      <c r="W24" s="23">
        <f t="shared" si="14"/>
        <v>-33.144395589922937</v>
      </c>
    </row>
    <row r="25" spans="1:24" s="13" customFormat="1" ht="18" customHeight="1">
      <c r="A25" s="109">
        <f t="shared" si="13"/>
        <v>22</v>
      </c>
      <c r="B25" s="110" t="s">
        <v>150</v>
      </c>
      <c r="C25" s="111">
        <v>30</v>
      </c>
      <c r="D25" s="112" t="s">
        <v>9</v>
      </c>
      <c r="E25" s="111">
        <v>4</v>
      </c>
      <c r="F25" s="111">
        <v>25</v>
      </c>
      <c r="G25" s="111">
        <v>1.3</v>
      </c>
      <c r="H25" s="111">
        <f t="shared" si="0"/>
        <v>5.2</v>
      </c>
      <c r="I25" s="114">
        <v>7.6068376068376062E-2</v>
      </c>
      <c r="J25" s="113">
        <f t="shared" si="1"/>
        <v>10</v>
      </c>
      <c r="K25" s="113">
        <f t="shared" si="2"/>
        <v>27.583333333333332</v>
      </c>
      <c r="L25" s="113">
        <f t="shared" si="3"/>
        <v>9.93</v>
      </c>
      <c r="M25" s="113">
        <f t="shared" si="4"/>
        <v>28.295712809917354</v>
      </c>
      <c r="N25" s="114">
        <f t="shared" si="5"/>
        <v>0.71237947658402234</v>
      </c>
      <c r="O25" s="114">
        <f t="shared" si="6"/>
        <v>2.5826446280991746</v>
      </c>
      <c r="P25" s="114">
        <f t="shared" si="7"/>
        <v>1.8377342302461644E-2</v>
      </c>
      <c r="Q25" s="114">
        <f t="shared" si="8"/>
        <v>1.0258264462809918</v>
      </c>
      <c r="R25" s="114">
        <f t="shared" si="10"/>
        <v>27.583333333333332</v>
      </c>
      <c r="S25" s="114">
        <f t="shared" si="9"/>
        <v>1.3888888888888888</v>
      </c>
      <c r="T25" s="23">
        <f t="shared" si="11"/>
        <v>26</v>
      </c>
      <c r="U25" s="23">
        <f t="shared" si="12"/>
        <v>25.464441991357649</v>
      </c>
      <c r="V25" s="36">
        <v>3.3446694498491079</v>
      </c>
      <c r="W25" s="23">
        <f t="shared" si="14"/>
        <v>4.8839758974850156E-6</v>
      </c>
    </row>
    <row r="26" spans="1:24" s="13" customFormat="1" ht="18" customHeight="1">
      <c r="A26" s="109">
        <f t="shared" si="13"/>
        <v>23</v>
      </c>
      <c r="B26" s="110" t="s">
        <v>151</v>
      </c>
      <c r="C26" s="111">
        <v>3</v>
      </c>
      <c r="D26" s="112" t="s">
        <v>56</v>
      </c>
      <c r="E26" s="111">
        <v>8</v>
      </c>
      <c r="F26" s="111">
        <v>15</v>
      </c>
      <c r="G26" s="111">
        <v>1</v>
      </c>
      <c r="H26" s="111">
        <f t="shared" si="0"/>
        <v>8</v>
      </c>
      <c r="I26" s="114">
        <v>7.6068376068376062E-2</v>
      </c>
      <c r="J26" s="113">
        <f t="shared" si="1"/>
        <v>100</v>
      </c>
      <c r="K26" s="113">
        <f t="shared" si="2"/>
        <v>40.833333333333329</v>
      </c>
      <c r="L26" s="113">
        <f t="shared" si="3"/>
        <v>1.4699999999999998</v>
      </c>
      <c r="M26" s="113">
        <f t="shared" si="4"/>
        <v>44.628220391895198</v>
      </c>
      <c r="N26" s="114">
        <f t="shared" si="5"/>
        <v>3.7948870585618693</v>
      </c>
      <c r="O26" s="114">
        <f t="shared" si="6"/>
        <v>9.2936009597433547</v>
      </c>
      <c r="P26" s="114">
        <f t="shared" si="7"/>
        <v>1.7925877235859616E-2</v>
      </c>
      <c r="Q26" s="114">
        <f t="shared" si="8"/>
        <v>1.0929360095974336</v>
      </c>
      <c r="R26" s="114">
        <f t="shared" si="10"/>
        <v>40.833333333333329</v>
      </c>
      <c r="S26" s="114">
        <f t="shared" si="9"/>
        <v>6.9444444444444446</v>
      </c>
      <c r="T26" s="23">
        <f t="shared" si="11"/>
        <v>40</v>
      </c>
      <c r="U26" s="23">
        <f t="shared" si="12"/>
        <v>36.371795407156988</v>
      </c>
      <c r="V26" s="36">
        <v>85.288021852396653</v>
      </c>
      <c r="W26" s="23">
        <f t="shared" si="14"/>
        <v>4.07052638706773E-7</v>
      </c>
    </row>
    <row r="27" spans="1:24" s="13" customFormat="1" ht="18" customHeight="1">
      <c r="A27" s="109">
        <f t="shared" si="13"/>
        <v>24</v>
      </c>
      <c r="B27" s="110" t="s">
        <v>152</v>
      </c>
      <c r="C27" s="111">
        <v>70</v>
      </c>
      <c r="D27" s="112" t="s">
        <v>21</v>
      </c>
      <c r="E27" s="111">
        <v>1</v>
      </c>
      <c r="F27" s="111">
        <v>30</v>
      </c>
      <c r="G27" s="111">
        <v>2</v>
      </c>
      <c r="H27" s="111">
        <f t="shared" si="0"/>
        <v>2</v>
      </c>
      <c r="I27" s="114">
        <v>0.45769230769230773</v>
      </c>
      <c r="J27" s="113">
        <f t="shared" si="1"/>
        <v>4.2857142857142856</v>
      </c>
      <c r="K27" s="113">
        <f t="shared" si="2"/>
        <v>31.107142857142858</v>
      </c>
      <c r="L27" s="113">
        <f t="shared" si="3"/>
        <v>26.130000000000003</v>
      </c>
      <c r="M27" s="113">
        <f t="shared" si="4"/>
        <v>32.344991757142772</v>
      </c>
      <c r="N27" s="114">
        <f t="shared" si="5"/>
        <v>1.2378488999999142</v>
      </c>
      <c r="O27" s="114">
        <f t="shared" si="6"/>
        <v>3.9793076004589665</v>
      </c>
      <c r="P27" s="114">
        <f t="shared" si="7"/>
        <v>6.183337485495999E-3</v>
      </c>
      <c r="Q27" s="114">
        <f t="shared" si="8"/>
        <v>1.0397930760045897</v>
      </c>
      <c r="R27" s="114">
        <f t="shared" si="10"/>
        <v>31.107142857142858</v>
      </c>
      <c r="S27" s="114">
        <f t="shared" si="9"/>
        <v>2.3809523809523809</v>
      </c>
      <c r="T27" s="23">
        <f t="shared" si="11"/>
        <v>10</v>
      </c>
      <c r="U27" s="23">
        <f t="shared" si="12"/>
        <v>8.6457062993563643</v>
      </c>
      <c r="V27" s="115">
        <v>2</v>
      </c>
      <c r="W27" s="23">
        <f t="shared" si="14"/>
        <v>-55.083106526215865</v>
      </c>
    </row>
    <row r="28" spans="1:24" s="13" customFormat="1" ht="18" customHeight="1">
      <c r="A28" s="109">
        <f t="shared" si="13"/>
        <v>25</v>
      </c>
      <c r="B28" s="110" t="s">
        <v>153</v>
      </c>
      <c r="C28" s="111">
        <v>15</v>
      </c>
      <c r="D28" s="112" t="s">
        <v>11</v>
      </c>
      <c r="E28" s="111">
        <v>1</v>
      </c>
      <c r="F28" s="111">
        <v>20</v>
      </c>
      <c r="G28" s="111">
        <v>1.8</v>
      </c>
      <c r="H28" s="111">
        <f t="shared" si="0"/>
        <v>1.8</v>
      </c>
      <c r="I28" s="114">
        <v>0.45769230769230773</v>
      </c>
      <c r="J28" s="113">
        <f t="shared" si="1"/>
        <v>20</v>
      </c>
      <c r="K28" s="113">
        <f t="shared" si="2"/>
        <v>25.166666666666668</v>
      </c>
      <c r="L28" s="113">
        <f t="shared" si="3"/>
        <v>4.53</v>
      </c>
      <c r="M28" s="113">
        <f t="shared" si="4"/>
        <v>32.197701701888143</v>
      </c>
      <c r="N28" s="114">
        <f t="shared" si="5"/>
        <v>7.0310350352214748</v>
      </c>
      <c r="O28" s="114">
        <f t="shared" si="6"/>
        <v>27.937887557171422</v>
      </c>
      <c r="P28" s="114">
        <f t="shared" si="7"/>
        <v>5.5904611349773588E-3</v>
      </c>
      <c r="Q28" s="114">
        <f t="shared" si="8"/>
        <v>1.2793788755717141</v>
      </c>
      <c r="R28" s="114">
        <f t="shared" si="10"/>
        <v>25.166666666666668</v>
      </c>
      <c r="S28" s="114">
        <f t="shared" si="9"/>
        <v>11.111111111111111</v>
      </c>
      <c r="T28" s="23">
        <f t="shared" si="11"/>
        <v>9</v>
      </c>
      <c r="U28" s="116">
        <v>1</v>
      </c>
      <c r="V28" s="115">
        <v>1.9999999999999996</v>
      </c>
      <c r="W28" s="23">
        <f>T28^1.25-(2*V28/3.6/E28)^1.25-(F28+$I$2*V28/3.6)^1.25</f>
        <v>-29.217313395297428</v>
      </c>
      <c r="X28" s="103"/>
    </row>
    <row r="29" spans="1:24" s="13" customFormat="1" ht="18" customHeight="1">
      <c r="A29" s="109">
        <f t="shared" si="13"/>
        <v>26</v>
      </c>
      <c r="B29" s="110" t="s">
        <v>154</v>
      </c>
      <c r="C29" s="111">
        <v>7</v>
      </c>
      <c r="D29" s="112" t="s">
        <v>21</v>
      </c>
      <c r="E29" s="111">
        <v>4</v>
      </c>
      <c r="F29" s="111">
        <v>10</v>
      </c>
      <c r="G29" s="111">
        <v>3.5</v>
      </c>
      <c r="H29" s="111">
        <f t="shared" si="0"/>
        <v>14</v>
      </c>
      <c r="I29" s="114">
        <v>0.45769230769230773</v>
      </c>
      <c r="J29" s="113">
        <f t="shared" si="1"/>
        <v>42.857142857142854</v>
      </c>
      <c r="K29" s="113">
        <f t="shared" si="2"/>
        <v>21.071428571428569</v>
      </c>
      <c r="L29" s="113">
        <f t="shared" si="3"/>
        <v>1.77</v>
      </c>
      <c r="M29" s="113">
        <f t="shared" si="4"/>
        <v>24.533727377101741</v>
      </c>
      <c r="N29" s="114">
        <f t="shared" si="5"/>
        <v>3.4622988056731714</v>
      </c>
      <c r="O29" s="114">
        <f t="shared" si="6"/>
        <v>16.431248569296407</v>
      </c>
      <c r="P29" s="114">
        <f t="shared" si="7"/>
        <v>5.7064300849233099E-2</v>
      </c>
      <c r="Q29" s="114">
        <f t="shared" si="8"/>
        <v>1.1643124856929641</v>
      </c>
      <c r="R29" s="114">
        <f t="shared" si="10"/>
        <v>21.071428571428569</v>
      </c>
      <c r="S29" s="114">
        <f t="shared" si="9"/>
        <v>5.9523809523809517</v>
      </c>
      <c r="T29" s="23">
        <f t="shared" si="11"/>
        <v>70</v>
      </c>
      <c r="U29" s="23">
        <f t="shared" si="12"/>
        <v>67.416514974439863</v>
      </c>
      <c r="V29" s="36">
        <v>173.43318449616206</v>
      </c>
      <c r="W29" s="23">
        <f t="shared" si="14"/>
        <v>-1.0406348323499515E-4</v>
      </c>
    </row>
    <row r="30" spans="1:24" s="13" customFormat="1" ht="18" customHeight="1">
      <c r="A30" s="109">
        <f t="shared" si="13"/>
        <v>27</v>
      </c>
      <c r="B30" s="110" t="s">
        <v>155</v>
      </c>
      <c r="C30" s="111">
        <v>150</v>
      </c>
      <c r="D30" s="112" t="s">
        <v>9</v>
      </c>
      <c r="E30" s="111">
        <v>2</v>
      </c>
      <c r="F30" s="111">
        <v>25</v>
      </c>
      <c r="G30" s="111">
        <v>1.3</v>
      </c>
      <c r="H30" s="111">
        <f t="shared" si="0"/>
        <v>2.6</v>
      </c>
      <c r="I30" s="114">
        <v>0.45769230769230773</v>
      </c>
      <c r="J30" s="113">
        <f t="shared" si="1"/>
        <v>2</v>
      </c>
      <c r="K30" s="113">
        <f t="shared" si="2"/>
        <v>25.516666666666666</v>
      </c>
      <c r="L30" s="113">
        <f t="shared" si="3"/>
        <v>45.93</v>
      </c>
      <c r="M30" s="113">
        <f t="shared" si="4"/>
        <v>25.79750165089148</v>
      </c>
      <c r="N30" s="114">
        <f t="shared" si="5"/>
        <v>0.28083498422481412</v>
      </c>
      <c r="O30" s="114">
        <f t="shared" si="6"/>
        <v>1.1005943209333018</v>
      </c>
      <c r="P30" s="114">
        <f t="shared" si="7"/>
        <v>1.0078495333326793E-2</v>
      </c>
      <c r="Q30" s="114">
        <f t="shared" si="8"/>
        <v>1.011005943209333</v>
      </c>
      <c r="R30" s="114">
        <f t="shared" si="10"/>
        <v>25.516666666666666</v>
      </c>
      <c r="S30" s="114">
        <f t="shared" si="9"/>
        <v>0.55555555555555558</v>
      </c>
      <c r="T30" s="23">
        <f t="shared" si="11"/>
        <v>13</v>
      </c>
      <c r="U30" s="23">
        <f t="shared" si="12"/>
        <v>12.797528843341945</v>
      </c>
      <c r="V30" s="115">
        <v>2</v>
      </c>
      <c r="W30" s="23">
        <f t="shared" si="14"/>
        <v>-33.144395589922937</v>
      </c>
    </row>
    <row r="31" spans="1:24" s="13" customFormat="1" ht="18" customHeight="1">
      <c r="A31" s="109">
        <f t="shared" si="13"/>
        <v>28</v>
      </c>
      <c r="B31" s="110" t="s">
        <v>156</v>
      </c>
      <c r="C31" s="111">
        <v>100</v>
      </c>
      <c r="D31" s="112" t="s">
        <v>9</v>
      </c>
      <c r="E31" s="111">
        <v>1</v>
      </c>
      <c r="F31" s="111">
        <v>30</v>
      </c>
      <c r="G31" s="111">
        <v>1.3</v>
      </c>
      <c r="H31" s="111">
        <f t="shared" si="0"/>
        <v>1.3</v>
      </c>
      <c r="I31" s="114">
        <v>0.1</v>
      </c>
      <c r="J31" s="113">
        <f t="shared" si="1"/>
        <v>3</v>
      </c>
      <c r="K31" s="113">
        <f t="shared" si="2"/>
        <v>30.774999999999999</v>
      </c>
      <c r="L31" s="113">
        <f t="shared" si="3"/>
        <v>36.93</v>
      </c>
      <c r="M31" s="113">
        <f t="shared" si="4"/>
        <v>31.631526579460058</v>
      </c>
      <c r="N31" s="114">
        <f t="shared" si="5"/>
        <v>0.85652657946005917</v>
      </c>
      <c r="O31" s="114">
        <f t="shared" si="6"/>
        <v>2.7831895352073412</v>
      </c>
      <c r="P31" s="114">
        <f t="shared" si="7"/>
        <v>4.1098237757647635E-3</v>
      </c>
      <c r="Q31" s="114">
        <f t="shared" si="8"/>
        <v>1.0278318953520733</v>
      </c>
      <c r="R31" s="114">
        <f t="shared" si="10"/>
        <v>30.774999999999999</v>
      </c>
      <c r="S31" s="114">
        <f t="shared" si="9"/>
        <v>1.6666666666666665</v>
      </c>
      <c r="T31" s="23">
        <f t="shared" si="11"/>
        <v>6.5</v>
      </c>
      <c r="U31" s="23">
        <f t="shared" si="12"/>
        <v>5.5324855050152157</v>
      </c>
      <c r="V31" s="115">
        <v>2</v>
      </c>
      <c r="W31" s="23">
        <f t="shared" si="14"/>
        <v>-62.487230806987199</v>
      </c>
    </row>
    <row r="32" spans="1:24" s="13" customFormat="1" ht="18" customHeight="1" thickBot="1">
      <c r="A32" s="117">
        <f t="shared" si="13"/>
        <v>29</v>
      </c>
      <c r="B32" s="118" t="s">
        <v>157</v>
      </c>
      <c r="C32" s="119">
        <v>2</v>
      </c>
      <c r="D32" s="120" t="s">
        <v>21</v>
      </c>
      <c r="E32" s="119">
        <v>4</v>
      </c>
      <c r="F32" s="119">
        <v>10</v>
      </c>
      <c r="G32" s="119">
        <v>2</v>
      </c>
      <c r="H32" s="119">
        <f t="shared" si="0"/>
        <v>8</v>
      </c>
      <c r="I32" s="122">
        <v>0.45800000000000002</v>
      </c>
      <c r="J32" s="121">
        <f t="shared" si="1"/>
        <v>150</v>
      </c>
      <c r="K32" s="121">
        <f t="shared" si="2"/>
        <v>48.75</v>
      </c>
      <c r="L32" s="121">
        <f t="shared" si="3"/>
        <v>1.1700000000000002</v>
      </c>
      <c r="M32" s="121">
        <f t="shared" si="4"/>
        <v>61.841351424276979</v>
      </c>
      <c r="N32" s="122">
        <f t="shared" si="5"/>
        <v>13.091351424276979</v>
      </c>
      <c r="O32" s="122">
        <f t="shared" si="6"/>
        <v>26.854054203645084</v>
      </c>
      <c r="P32" s="122">
        <f t="shared" si="7"/>
        <v>1.2936327903176208E-2</v>
      </c>
      <c r="Q32" s="122">
        <f t="shared" si="8"/>
        <v>1.2685405420364508</v>
      </c>
      <c r="R32" s="122">
        <f t="shared" si="10"/>
        <v>48.75</v>
      </c>
      <c r="S32" s="122">
        <f t="shared" si="9"/>
        <v>20.833333333333332</v>
      </c>
      <c r="T32" s="41">
        <f t="shared" si="11"/>
        <v>40</v>
      </c>
      <c r="U32" s="41">
        <f t="shared" si="12"/>
        <v>25.065776656812989</v>
      </c>
      <c r="V32" s="44">
        <v>87.49493923193937</v>
      </c>
      <c r="W32" s="41">
        <f>T32^1.25-(2*V32/3.6/E32)^1.25-(F32+$I$2*V32/3.6)^1.25</f>
        <v>2.7150809884801674E-5</v>
      </c>
    </row>
    <row r="38" spans="2:2">
      <c r="B38" s="100"/>
    </row>
    <row r="39" spans="2:2">
      <c r="B39" s="100"/>
    </row>
    <row r="40" spans="2:2">
      <c r="B40" s="100"/>
    </row>
    <row r="41" spans="2:2">
      <c r="B41" s="100"/>
    </row>
    <row r="42" spans="2:2">
      <c r="B42" s="100"/>
    </row>
    <row r="43" spans="2:2">
      <c r="B43" s="100"/>
    </row>
    <row r="44" spans="2:2">
      <c r="B44" s="100"/>
    </row>
    <row r="45" spans="2:2">
      <c r="B45" s="100"/>
    </row>
    <row r="46" spans="2:2">
      <c r="B46" s="100"/>
    </row>
    <row r="47" spans="2:2">
      <c r="B47" s="100"/>
    </row>
    <row r="48" spans="2:2">
      <c r="B48" s="100"/>
    </row>
    <row r="49" spans="2:2">
      <c r="B49" s="100"/>
    </row>
    <row r="50" spans="2:2">
      <c r="B50" s="100"/>
    </row>
    <row r="51" spans="2:2">
      <c r="B51" s="100"/>
    </row>
    <row r="52" spans="2:2">
      <c r="B52" s="100"/>
    </row>
    <row r="53" spans="2:2">
      <c r="B53" s="100"/>
    </row>
    <row r="54" spans="2:2">
      <c r="B54" s="100"/>
    </row>
    <row r="55" spans="2:2">
      <c r="B55" s="100"/>
    </row>
    <row r="56" spans="2:2">
      <c r="B56" s="100"/>
    </row>
    <row r="57" spans="2:2">
      <c r="B57" s="100"/>
    </row>
    <row r="58" spans="2:2">
      <c r="B58" s="100"/>
    </row>
    <row r="59" spans="2:2">
      <c r="B59" s="100"/>
    </row>
    <row r="60" spans="2:2">
      <c r="B60" s="100"/>
    </row>
    <row r="61" spans="2:2">
      <c r="B61" s="100"/>
    </row>
    <row r="62" spans="2:2">
      <c r="B62" s="100"/>
    </row>
    <row r="63" spans="2:2">
      <c r="B63" s="100"/>
    </row>
    <row r="64" spans="2:2">
      <c r="B64" s="100"/>
    </row>
    <row r="65" spans="2:17">
      <c r="B65" s="100"/>
    </row>
    <row r="66" spans="2:17">
      <c r="B66" s="100"/>
    </row>
    <row r="68" spans="2:17">
      <c r="J68" s="55"/>
      <c r="K68" s="55"/>
      <c r="L68" s="55"/>
      <c r="M68" s="55"/>
      <c r="N68" s="55"/>
      <c r="O68" s="55"/>
      <c r="P68" s="55"/>
      <c r="Q68" s="55"/>
    </row>
    <row r="69" spans="2:17">
      <c r="J69" s="55"/>
      <c r="K69" s="55"/>
      <c r="L69" s="55"/>
      <c r="M69" s="55"/>
      <c r="N69" s="55"/>
      <c r="O69" s="55"/>
      <c r="P69" s="55"/>
      <c r="Q69" s="55"/>
    </row>
    <row r="70" spans="2:17">
      <c r="J70" s="55"/>
      <c r="K70" s="55"/>
      <c r="L70" s="55"/>
      <c r="M70" s="55"/>
      <c r="N70" s="55"/>
      <c r="O70" s="55"/>
      <c r="P70" s="55"/>
      <c r="Q70" s="55"/>
    </row>
    <row r="71" spans="2:17">
      <c r="J71" s="55"/>
      <c r="K71" s="55"/>
      <c r="L71" s="55"/>
      <c r="M71" s="55"/>
      <c r="N71" s="55"/>
      <c r="O71" s="55"/>
      <c r="P71" s="55"/>
      <c r="Q71" s="55"/>
    </row>
    <row r="72" spans="2:17">
      <c r="J72" s="55"/>
      <c r="K72" s="55"/>
      <c r="L72" s="55"/>
      <c r="M72" s="55"/>
      <c r="N72" s="55"/>
      <c r="O72" s="55"/>
      <c r="P72" s="55"/>
      <c r="Q72" s="55"/>
    </row>
    <row r="73" spans="2:17">
      <c r="J73" s="55"/>
      <c r="K73" s="55"/>
      <c r="L73" s="55"/>
      <c r="M73" s="55"/>
      <c r="N73" s="55"/>
      <c r="O73" s="55"/>
      <c r="P73" s="55"/>
      <c r="Q73" s="55"/>
    </row>
    <row r="74" spans="2:17">
      <c r="J74" s="55"/>
      <c r="K74" s="55"/>
      <c r="L74" s="55"/>
      <c r="M74" s="55"/>
      <c r="N74" s="55"/>
      <c r="O74" s="55"/>
      <c r="P74" s="55"/>
      <c r="Q74" s="55"/>
    </row>
    <row r="75" spans="2:17">
      <c r="J75" s="55"/>
      <c r="K75" s="55"/>
      <c r="L75" s="55"/>
      <c r="M75" s="55"/>
      <c r="N75" s="55"/>
      <c r="O75" s="55"/>
      <c r="P75" s="55"/>
      <c r="Q75" s="55"/>
    </row>
    <row r="76" spans="2:17">
      <c r="J76" s="55"/>
      <c r="K76" s="55"/>
      <c r="L76" s="55"/>
      <c r="M76" s="55"/>
      <c r="N76" s="55"/>
      <c r="O76" s="55"/>
      <c r="P76" s="55"/>
      <c r="Q76" s="55"/>
    </row>
    <row r="77" spans="2:17">
      <c r="J77" s="55"/>
      <c r="K77" s="55"/>
      <c r="L77" s="55"/>
      <c r="M77" s="55"/>
      <c r="N77" s="55"/>
      <c r="O77" s="55"/>
      <c r="P77" s="55"/>
      <c r="Q77" s="55"/>
    </row>
    <row r="78" spans="2:17">
      <c r="J78" s="55"/>
      <c r="K78" s="55"/>
      <c r="L78" s="55"/>
      <c r="M78" s="55"/>
      <c r="N78" s="55"/>
      <c r="O78" s="55"/>
      <c r="P78" s="55"/>
      <c r="Q78" s="55"/>
    </row>
    <row r="79" spans="2:17">
      <c r="J79" s="55"/>
      <c r="K79" s="55"/>
      <c r="L79" s="55"/>
      <c r="M79" s="55"/>
      <c r="N79" s="55"/>
      <c r="O79" s="55"/>
      <c r="P79" s="55"/>
      <c r="Q79" s="55"/>
    </row>
    <row r="80" spans="2:17">
      <c r="J80" s="55"/>
      <c r="K80" s="55"/>
      <c r="L80" s="55"/>
      <c r="M80" s="55"/>
      <c r="N80" s="55"/>
      <c r="O80" s="55"/>
      <c r="P80" s="55"/>
      <c r="Q80" s="55"/>
    </row>
    <row r="81" spans="10:17">
      <c r="J81" s="55"/>
      <c r="K81" s="55"/>
      <c r="L81" s="55"/>
      <c r="M81" s="55"/>
      <c r="N81" s="55"/>
      <c r="O81" s="55"/>
      <c r="P81" s="55"/>
      <c r="Q81" s="55"/>
    </row>
    <row r="82" spans="10:17">
      <c r="J82" s="55"/>
      <c r="K82" s="55"/>
      <c r="L82" s="55"/>
      <c r="M82" s="55"/>
      <c r="N82" s="55"/>
      <c r="O82" s="55"/>
      <c r="P82" s="55"/>
      <c r="Q82" s="55"/>
    </row>
    <row r="83" spans="10:17">
      <c r="J83" s="55"/>
      <c r="K83" s="55"/>
      <c r="L83" s="55"/>
      <c r="M83" s="55"/>
      <c r="N83" s="55"/>
      <c r="O83" s="55"/>
      <c r="P83" s="55"/>
      <c r="Q83" s="55"/>
    </row>
    <row r="84" spans="10:17">
      <c r="J84" s="55"/>
      <c r="K84" s="55"/>
      <c r="L84" s="55"/>
      <c r="M84" s="55"/>
      <c r="N84" s="55"/>
      <c r="O84" s="55"/>
      <c r="P84" s="55"/>
      <c r="Q84" s="55"/>
    </row>
    <row r="85" spans="10:17">
      <c r="J85" s="55"/>
      <c r="K85" s="55"/>
      <c r="L85" s="55"/>
      <c r="M85" s="55"/>
      <c r="N85" s="55"/>
      <c r="O85" s="55"/>
      <c r="P85" s="55"/>
      <c r="Q85" s="55"/>
    </row>
    <row r="86" spans="10:17">
      <c r="J86" s="55"/>
      <c r="K86" s="55"/>
      <c r="L86" s="55"/>
      <c r="M86" s="55"/>
      <c r="N86" s="55"/>
      <c r="O86" s="55"/>
      <c r="P86" s="55"/>
      <c r="Q86" s="55"/>
    </row>
    <row r="87" spans="10:17">
      <c r="J87" s="55"/>
      <c r="K87" s="55"/>
      <c r="L87" s="55"/>
      <c r="M87" s="55"/>
      <c r="N87" s="55"/>
      <c r="O87" s="55"/>
      <c r="P87" s="55"/>
      <c r="Q87" s="55"/>
    </row>
    <row r="88" spans="10:17">
      <c r="J88" s="55"/>
      <c r="K88" s="55"/>
      <c r="L88" s="55"/>
      <c r="M88" s="55"/>
      <c r="N88" s="55"/>
      <c r="O88" s="55"/>
      <c r="P88" s="55"/>
      <c r="Q88" s="55"/>
    </row>
    <row r="89" spans="10:17">
      <c r="J89" s="55"/>
      <c r="K89" s="55"/>
      <c r="L89" s="55"/>
      <c r="M89" s="55"/>
      <c r="N89" s="55"/>
      <c r="O89" s="55"/>
      <c r="P89" s="55"/>
      <c r="Q89" s="55"/>
    </row>
    <row r="90" spans="10:17">
      <c r="J90" s="55"/>
      <c r="K90" s="55"/>
      <c r="L90" s="55"/>
      <c r="M90" s="55"/>
      <c r="N90" s="55"/>
      <c r="O90" s="55"/>
      <c r="P90" s="55"/>
      <c r="Q90" s="55"/>
    </row>
    <row r="91" spans="10:17">
      <c r="J91" s="55"/>
      <c r="K91" s="55"/>
      <c r="L91" s="55"/>
      <c r="M91" s="55"/>
      <c r="N91" s="55"/>
      <c r="O91" s="55"/>
      <c r="P91" s="55"/>
      <c r="Q91" s="55"/>
    </row>
    <row r="92" spans="10:17">
      <c r="J92" s="55"/>
      <c r="K92" s="55"/>
      <c r="L92" s="55"/>
      <c r="M92" s="55"/>
      <c r="N92" s="55"/>
      <c r="O92" s="55"/>
      <c r="P92" s="55"/>
      <c r="Q92" s="55"/>
    </row>
    <row r="93" spans="10:17">
      <c r="J93" s="55"/>
      <c r="K93" s="55"/>
      <c r="L93" s="55"/>
      <c r="M93" s="55"/>
      <c r="N93" s="55"/>
      <c r="O93" s="55"/>
      <c r="P93" s="55"/>
      <c r="Q93" s="55"/>
    </row>
    <row r="94" spans="10:17">
      <c r="J94" s="55"/>
      <c r="K94" s="55"/>
      <c r="L94" s="55"/>
      <c r="M94" s="55"/>
      <c r="N94" s="55"/>
      <c r="O94" s="55"/>
      <c r="P94" s="55"/>
      <c r="Q94" s="55"/>
    </row>
    <row r="95" spans="10:17">
      <c r="J95" s="55"/>
      <c r="K95" s="55"/>
      <c r="L95" s="55"/>
      <c r="M95" s="55"/>
      <c r="N95" s="55"/>
      <c r="O95" s="55"/>
      <c r="P95" s="55"/>
      <c r="Q95" s="55"/>
    </row>
    <row r="96" spans="10:17">
      <c r="J96" s="55"/>
      <c r="K96" s="55"/>
      <c r="L96" s="55"/>
      <c r="M96" s="55"/>
      <c r="N96" s="55"/>
      <c r="O96" s="55"/>
      <c r="P96" s="55"/>
      <c r="Q96" s="55"/>
    </row>
  </sheetData>
  <mergeCells count="3">
    <mergeCell ref="D2:E2"/>
    <mergeCell ref="G2:H2"/>
    <mergeCell ref="A1:W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S1. Ct &amp; y</vt:lpstr>
      <vt:lpstr>Fig S2. ASHRAE 62.1</vt:lpstr>
      <vt:lpstr>Fig S3. ASHRAE 241</vt:lpstr>
      <vt:lpstr>Fig S4ab. ASHRAE 62.1</vt:lpstr>
      <vt:lpstr>Fig S4bc. ASHRAE 241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2025-10-02T12:50:08Z</dcterms:modified>
</cp:coreProperties>
</file>